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1" activeTab="0"/>
  </bookViews>
  <sheets>
    <sheet name="Lista tarife - Anexa 1 HCL" sheetId="1" r:id="rId1"/>
    <sheet name="Lista Tarife - SEMNAT" sheetId="2" r:id="rId2"/>
    <sheet name="Incasari" sheetId="3" r:id="rId3"/>
    <sheet name="Fisa F" sheetId="4" r:id="rId4"/>
    <sheet name="calatorii" sheetId="5" r:id="rId5"/>
    <sheet name="Sheet4" sheetId="6" r:id="rId6"/>
    <sheet name="Sheet6" sheetId="7" r:id="rId7"/>
  </sheets>
  <definedNames>
    <definedName name="Excel_BuiltIn_Print_Area" localSheetId="3">'Fisa F'!$A$1:$M$45</definedName>
    <definedName name="Excel_BuiltIn_Print_Area" localSheetId="3">'Fisa F'!$A$1:$M$42</definedName>
    <definedName name="_xlnm.Print_Area" localSheetId="3">'Fisa F'!$A$1:$N$45</definedName>
  </definedNames>
  <calcPr fullCalcOnLoad="1"/>
</workbook>
</file>

<file path=xl/sharedStrings.xml><?xml version="1.0" encoding="utf-8"?>
<sst xmlns="http://schemas.openxmlformats.org/spreadsheetml/2006/main" count="645" uniqueCount="255">
  <si>
    <t>S.C. APA TERMIC TRANSPORT S.A.</t>
  </si>
  <si>
    <t>Anexa 1</t>
  </si>
  <si>
    <t>545400 SIGHISOARA, JUD.MURES,STR.CALEA BARATILOR 11</t>
  </si>
  <si>
    <t>CIF: RO 1225869 NR.ORC: J26/229/1998</t>
  </si>
  <si>
    <t>LISTA TARIFELOR</t>
  </si>
  <si>
    <t>la transportul urban de calatori, in municipiul Sighisoara, prestatie efectuata de</t>
  </si>
  <si>
    <t>S.C. APA TERMIC TRANSPORT S. A. Sighisoara</t>
  </si>
  <si>
    <t>TIP BILET / ABON. ACTUAL</t>
  </si>
  <si>
    <t>TARIF</t>
  </si>
  <si>
    <t>TIP BILET / ABON. PROPUS</t>
  </si>
  <si>
    <t>Crestere</t>
  </si>
  <si>
    <t>Actual</t>
  </si>
  <si>
    <t>Propus</t>
  </si>
  <si>
    <t>cu %</t>
  </si>
  <si>
    <t xml:space="preserve"> = LEI =</t>
  </si>
  <si>
    <t>BILETE</t>
  </si>
  <si>
    <t>Bilet 1 calatorie mediu urban</t>
  </si>
  <si>
    <t>Bilet 2 calatorii mediu urban</t>
  </si>
  <si>
    <t>Bilet 2 calatorii Sighisoara-Hetiur</t>
  </si>
  <si>
    <t>Bilet 2 calatorii Sighisoara-Venchi</t>
  </si>
  <si>
    <t>Bilet de calatorie in autobuz</t>
  </si>
  <si>
    <t>ABONAMENTE INTEGRALE</t>
  </si>
  <si>
    <t>Toate liniile mediu urban -NOMINAL-ZILE LUCRATOARE</t>
  </si>
  <si>
    <t>Toate liniile mediu urban -NOMINAL-30 ZILE</t>
  </si>
  <si>
    <t>Toate liniile mediu urban -NENOMINAL</t>
  </si>
  <si>
    <t>Toate liniile mediu urban – TRANSMISIBIL</t>
  </si>
  <si>
    <t>Sighisoara-Hetiur</t>
  </si>
  <si>
    <t>Sighisoara-Venchi</t>
  </si>
  <si>
    <t>ABONAMENTE REDUSE - 15 zile</t>
  </si>
  <si>
    <t>ABONAMENTE - 15 zile</t>
  </si>
  <si>
    <t>Toate liniile mediu urban -NOMINAL – 15 ZILE – ZILE LUCRATOARE</t>
  </si>
  <si>
    <t>Toate liniile mediu urban -NOMINAL – 15 ZILE – numai ZILE LUCRATOARE</t>
  </si>
  <si>
    <t>Toate liniile mediu urban -NOMINAL</t>
  </si>
  <si>
    <t>Toate liniile mediu urban -NOMINAL – 15 ZILE</t>
  </si>
  <si>
    <t>Toate liniile mediu urban – 15 ZILE – NENOMINAL</t>
  </si>
  <si>
    <t>Toate liniile mediu urban – 15 ZILE – TRANSMISIBIL</t>
  </si>
  <si>
    <t>Sighisoara-Hetiur 15 ZILE</t>
  </si>
  <si>
    <t>Sighisoara-Venchi 15 ZILE</t>
  </si>
  <si>
    <t>ABONAMENTE ELEVI</t>
  </si>
  <si>
    <t>Abonamente ELEVI - o luna</t>
  </si>
  <si>
    <t>Abonamente ELEVI - 15 zile</t>
  </si>
  <si>
    <t>ABONAMENTE PARTIALE</t>
  </si>
  <si>
    <t>Abonamente o zi - toate liniile oras</t>
  </si>
  <si>
    <t>Abonamente 7 zile - o linie oras</t>
  </si>
  <si>
    <t>ALTE TARIFE</t>
  </si>
  <si>
    <t>Amenzi</t>
  </si>
  <si>
    <t xml:space="preserve">    - pe loc</t>
  </si>
  <si>
    <t>la Raport</t>
  </si>
  <si>
    <t>Cu %</t>
  </si>
  <si>
    <t>Director General</t>
  </si>
  <si>
    <t>Director Economic</t>
  </si>
  <si>
    <t>ing.Oprea Mircea-Țonu</t>
  </si>
  <si>
    <t>ec.Ferezan Claudiu-Aurelian</t>
  </si>
  <si>
    <t>Anexa 3</t>
  </si>
  <si>
    <t>CALCULUL</t>
  </si>
  <si>
    <t>INCASARILOR LA TRANSPORTUL IN COMUN DE PERSOANE IN MUNICIPIUL SIGHISOARA, IN CONDITIILE</t>
  </si>
  <si>
    <t>IANUARIE 2020 SI PROPUNERI</t>
  </si>
  <si>
    <t>Tarife actuale</t>
  </si>
  <si>
    <t>Tarife propuse</t>
  </si>
  <si>
    <t>Bilete-Abonam. Vandute</t>
  </si>
  <si>
    <t>Calatorii</t>
  </si>
  <si>
    <t>Total incasari</t>
  </si>
  <si>
    <t>Total venituri</t>
  </si>
  <si>
    <t>Nr</t>
  </si>
  <si>
    <t>Explicatii</t>
  </si>
  <si>
    <t>lei/cal.</t>
  </si>
  <si>
    <t>lei/bil.</t>
  </si>
  <si>
    <t>actual</t>
  </si>
  <si>
    <t>propus</t>
  </si>
  <si>
    <t xml:space="preserve">propus </t>
  </si>
  <si>
    <t xml:space="preserve">actual </t>
  </si>
  <si>
    <t>crt</t>
  </si>
  <si>
    <t>lei/abonam.</t>
  </si>
  <si>
    <t>buc.</t>
  </si>
  <si>
    <t xml:space="preserve"> buc.</t>
  </si>
  <si>
    <t>cal.</t>
  </si>
  <si>
    <t>RON</t>
  </si>
  <si>
    <t>A.BILETE</t>
  </si>
  <si>
    <t>Bilet 1 calatorie Venchi</t>
  </si>
  <si>
    <t>Bilet 1 calatorie Hetiur</t>
  </si>
  <si>
    <t xml:space="preserve">B.ABONAMENTE </t>
  </si>
  <si>
    <t>B1. INTEGRALE</t>
  </si>
  <si>
    <t>B2. REDUSE – 15 ZILE</t>
  </si>
  <si>
    <t xml:space="preserve">Sighisoara-Hetiur </t>
  </si>
  <si>
    <t xml:space="preserve">Sighisoara-Venchi </t>
  </si>
  <si>
    <t xml:space="preserve">Abonamente ELEVI </t>
  </si>
  <si>
    <t>1.BILETE SI ABONAMENTE (A+B)</t>
  </si>
  <si>
    <t xml:space="preserve">3.Amenzi </t>
  </si>
  <si>
    <t>4.Alte venituri din incasari</t>
  </si>
  <si>
    <t>5.Alte venituri (chirii, discount, dif curs)</t>
  </si>
  <si>
    <t>TOTAL INCASARI / VENITURI</t>
  </si>
  <si>
    <t>SUBVENTII SI GRATUITATI</t>
  </si>
  <si>
    <t>1.Veterani de razboi, vaduve, deportati</t>
  </si>
  <si>
    <t>2.Pensionari</t>
  </si>
  <si>
    <t>3.Persoane cu handicap</t>
  </si>
  <si>
    <t>TOTAL gratuitati buget</t>
  </si>
  <si>
    <t>Subventie cost transport</t>
  </si>
  <si>
    <t>TOTAL INCASARI TRANSPORT</t>
  </si>
  <si>
    <t>SC APA TERMIC TRANSPORT SA</t>
  </si>
  <si>
    <t>547025 Albesti, jud.Mures, str.Calea Baratilor 11</t>
  </si>
  <si>
    <t>CUI RO 1225869 Nr.ORC J26/229/1998</t>
  </si>
  <si>
    <t>Anexa 2</t>
  </si>
  <si>
    <t>FISA</t>
  </si>
  <si>
    <t>de fundamentare a incasarilor-costurilor pentru transportul urban de calaltori</t>
  </si>
  <si>
    <t>Nr crt</t>
  </si>
  <si>
    <t>UM</t>
  </si>
  <si>
    <t>Realizat total</t>
  </si>
  <si>
    <t>Realizat – 2019</t>
  </si>
  <si>
    <t>Realizat</t>
  </si>
  <si>
    <t>Tarif actual</t>
  </si>
  <si>
    <t>Tarif propus</t>
  </si>
  <si>
    <t>IAN.</t>
  </si>
  <si>
    <t>IAN. 2020</t>
  </si>
  <si>
    <t>IAN-OCT 2019</t>
  </si>
  <si>
    <t>Noiembrie</t>
  </si>
  <si>
    <t>Decembrie</t>
  </si>
  <si>
    <t>LEI / CAL</t>
  </si>
  <si>
    <t>LEI</t>
  </si>
  <si>
    <t>I</t>
  </si>
  <si>
    <t>NUMAR CALATORII</t>
  </si>
  <si>
    <t>CAL</t>
  </si>
  <si>
    <t>Cheltuieli materiale</t>
  </si>
  <si>
    <t>1a</t>
  </si>
  <si>
    <t xml:space="preserve">  Carb.lubr.</t>
  </si>
  <si>
    <t>1b</t>
  </si>
  <si>
    <t xml:space="preserve">  Materiale+mat.pr.</t>
  </si>
  <si>
    <t>1c</t>
  </si>
  <si>
    <t xml:space="preserve">  Piese schimb+anvelope</t>
  </si>
  <si>
    <t>1d</t>
  </si>
  <si>
    <t xml:space="preserve">  Energie, gaz, apa</t>
  </si>
  <si>
    <t>1e</t>
  </si>
  <si>
    <t xml:space="preserve">  Alte chelt.materiale</t>
  </si>
  <si>
    <t>Serv.terti</t>
  </si>
  <si>
    <t>2a</t>
  </si>
  <si>
    <t xml:space="preserve">  Reparatii cu terti</t>
  </si>
  <si>
    <t>2b</t>
  </si>
  <si>
    <t xml:space="preserve">  Redevente &amp; chirii</t>
  </si>
  <si>
    <t>2c</t>
  </si>
  <si>
    <t xml:space="preserve">  Prime asigurare</t>
  </si>
  <si>
    <t>2d</t>
  </si>
  <si>
    <t xml:space="preserve">  Pregatire profesionala</t>
  </si>
  <si>
    <t>Impozite si taxe</t>
  </si>
  <si>
    <t>3a</t>
  </si>
  <si>
    <t xml:space="preserve">  Imp.si taxe locale</t>
  </si>
  <si>
    <t>Amortizari si provizioane</t>
  </si>
  <si>
    <t>4a</t>
  </si>
  <si>
    <t xml:space="preserve">  Cheltuieli cu amortizarea</t>
  </si>
  <si>
    <t>4b</t>
  </si>
  <si>
    <t xml:space="preserve">  Cheltuieli cu provizioane litigiu</t>
  </si>
  <si>
    <t>Ch.salariale</t>
  </si>
  <si>
    <t>5a</t>
  </si>
  <si>
    <t xml:space="preserve">  Salarii</t>
  </si>
  <si>
    <t>5b</t>
  </si>
  <si>
    <t xml:space="preserve">  Contributii salarii</t>
  </si>
  <si>
    <t>5c</t>
  </si>
  <si>
    <t xml:space="preserve">  Tichete masa</t>
  </si>
  <si>
    <t>5d</t>
  </si>
  <si>
    <t xml:space="preserve">  Alte chelt pers.</t>
  </si>
  <si>
    <t>Alte ch,de exploatare</t>
  </si>
  <si>
    <t>6a</t>
  </si>
  <si>
    <t>IV</t>
  </si>
  <si>
    <t>TOTAL COSTURI</t>
  </si>
  <si>
    <t>Profit</t>
  </si>
  <si>
    <t xml:space="preserve">TOTAL GEN. </t>
  </si>
  <si>
    <t>Tarif fara TVA</t>
  </si>
  <si>
    <t>TVA</t>
  </si>
  <si>
    <t>Tarif cu TVA</t>
  </si>
  <si>
    <t>Anexa 4</t>
  </si>
  <si>
    <t>de fundamentare a calatoriilor conventionale la transport public de persoane</t>
  </si>
  <si>
    <t>Bucati vandute</t>
  </si>
  <si>
    <t>Tip zile *)</t>
  </si>
  <si>
    <t>Nr linii (trasee)</t>
  </si>
  <si>
    <t>Nr.zile</t>
  </si>
  <si>
    <t>Nr.calatorii / zi</t>
  </si>
  <si>
    <t>Calatorii
Conventionale</t>
  </si>
  <si>
    <t>N</t>
  </si>
  <si>
    <t>C</t>
  </si>
  <si>
    <t>CC = N x col.3 x col.4 x col.5</t>
  </si>
  <si>
    <t>B. ABONAMENTE INTEGRALE</t>
  </si>
  <si>
    <t>L</t>
  </si>
  <si>
    <t>C. ABONAMENTE REDUSE ½ LUNA</t>
  </si>
  <si>
    <t>Toate liniile mediu urban -NOMINAL-15 ZILE – numai ZILE LUCRATOARE</t>
  </si>
  <si>
    <t>Toate liniile mediu urban -NOMINAL-15 ZILE</t>
  </si>
  <si>
    <t>D. ABONAMENTE ELEVI</t>
  </si>
  <si>
    <t>E. ABONAMENTE PARTIALE</t>
  </si>
  <si>
    <t>F. ALOCATII GRATUITATI</t>
  </si>
  <si>
    <t>1.Veterani, vaduve, deportati</t>
  </si>
  <si>
    <t>Unde:</t>
  </si>
  <si>
    <t>N = Numar de bucati vandute din fiecare categorie</t>
  </si>
  <si>
    <t>C = Zile calendaristice; L = Zile lucratoare</t>
  </si>
  <si>
    <t>CC = calatorii conventionale</t>
  </si>
  <si>
    <t>Sef Sector Transport Public</t>
  </si>
  <si>
    <t>ing.Ionescu Aurelian</t>
  </si>
  <si>
    <t>Tabelul 4</t>
  </si>
  <si>
    <t>Tabel 1 – Autobuze NON EURO in noiembrie 2017</t>
  </si>
  <si>
    <t>TIP ABONAMENT</t>
  </si>
  <si>
    <t>Creștere</t>
  </si>
  <si>
    <t>Nr. Circulatie</t>
  </si>
  <si>
    <t>Marca/Tipul</t>
  </si>
  <si>
    <t>Anul</t>
  </si>
  <si>
    <t>Norma Poluare</t>
  </si>
  <si>
    <t>Cu (%)</t>
  </si>
  <si>
    <t>MS 11 ATT</t>
  </si>
  <si>
    <t>MAN SG292</t>
  </si>
  <si>
    <t>- Articulat</t>
  </si>
  <si>
    <t>NON EURO</t>
  </si>
  <si>
    <t>MS 16 ATT</t>
  </si>
  <si>
    <t>MS 17 ATT</t>
  </si>
  <si>
    <t>MS 26 ATT</t>
  </si>
  <si>
    <t>Tabelul 5</t>
  </si>
  <si>
    <t>MS 27 ATT</t>
  </si>
  <si>
    <t>MS 28 ATT</t>
  </si>
  <si>
    <t>MAN SG292F</t>
  </si>
  <si>
    <t>MS 24 ATT</t>
  </si>
  <si>
    <t>MAN NL 202</t>
  </si>
  <si>
    <t>- Scurt</t>
  </si>
  <si>
    <t>MS 25 ATT</t>
  </si>
  <si>
    <t>Tabel 3 –Achizitii 2018-2019</t>
  </si>
  <si>
    <t>Nr.</t>
  </si>
  <si>
    <t>Denumire mijloc fix</t>
  </si>
  <si>
    <t>Data intrarii</t>
  </si>
  <si>
    <t>Val.inventar</t>
  </si>
  <si>
    <r>
      <t>MS-35-ATT</t>
    </r>
    <r>
      <rPr>
        <sz val="8"/>
        <rFont val="Arial"/>
        <family val="2"/>
      </rPr>
      <t xml:space="preserve"> AUTOBUZ ARTICULAT MB 530G CITARO</t>
    </r>
  </si>
  <si>
    <t>Tabelul 6</t>
  </si>
  <si>
    <t>Tabel 2 – Autobuze NON EURO in ianuarie 2020.</t>
  </si>
  <si>
    <r>
      <t>MS-36-ATT</t>
    </r>
    <r>
      <rPr>
        <sz val="8"/>
        <rFont val="Arial"/>
        <family val="2"/>
      </rPr>
      <t xml:space="preserve"> AUTOBUZ MB CITARO O530</t>
    </r>
  </si>
  <si>
    <t>TARIFE ALOCATII</t>
  </si>
  <si>
    <r>
      <t xml:space="preserve">MS-12-ATT </t>
    </r>
    <r>
      <rPr>
        <sz val="8"/>
        <color indexed="8"/>
        <rFont val="Arial"/>
        <family val="2"/>
      </rPr>
      <t>AUTOBUZ ARTICULAT MB O530G CITARO</t>
    </r>
  </si>
  <si>
    <r>
      <t xml:space="preserve">MS-09-ATT </t>
    </r>
    <r>
      <rPr>
        <sz val="8"/>
        <rFont val="Arial"/>
        <family val="2"/>
      </rPr>
      <t>MICROBUZ MB SPRINTER 515</t>
    </r>
  </si>
  <si>
    <r>
      <t xml:space="preserve">MS-27-ATT </t>
    </r>
    <r>
      <rPr>
        <sz val="8"/>
        <color indexed="63"/>
        <rFont val="Arial"/>
        <family val="2"/>
      </rPr>
      <t>AUTOBUZ ARTICULAT MB 530 G CITARO</t>
    </r>
  </si>
  <si>
    <r>
      <t xml:space="preserve">MS-38-ATT </t>
    </r>
    <r>
      <rPr>
        <sz val="8"/>
        <color indexed="63"/>
        <rFont val="Arial"/>
        <family val="2"/>
      </rPr>
      <t>AUTOBUZ MB 530 CITARO</t>
    </r>
  </si>
  <si>
    <r>
      <t xml:space="preserve">MS-39-ATT </t>
    </r>
    <r>
      <rPr>
        <sz val="8"/>
        <color indexed="63"/>
        <rFont val="Arial"/>
        <family val="2"/>
      </rPr>
      <t>AUTOBUZ MB 530 CITARO</t>
    </r>
  </si>
  <si>
    <t>Tabel 4</t>
  </si>
  <si>
    <t>Element cost</t>
  </si>
  <si>
    <t>Noiembrie 2017</t>
  </si>
  <si>
    <t>Ianuarie 2020</t>
  </si>
  <si>
    <t>%</t>
  </si>
  <si>
    <t>Gaze naturale</t>
  </si>
  <si>
    <t>lei/kWh</t>
  </si>
  <si>
    <t>Energie electrică</t>
  </si>
  <si>
    <t>Tabel 5</t>
  </si>
  <si>
    <t>NR</t>
  </si>
  <si>
    <t>TIP BILET ACTUAL</t>
  </si>
  <si>
    <t>TIP BILET PROPUS</t>
  </si>
  <si>
    <t>Bilet 1 calatorie Sighisoara-Hetiur</t>
  </si>
  <si>
    <t>Tabelul 7</t>
  </si>
  <si>
    <t>Bilet 1 calatorie Sighisoara-Venchi</t>
  </si>
  <si>
    <t>cu (%)</t>
  </si>
  <si>
    <t>Tabel 6</t>
  </si>
  <si>
    <t>TIP ABONAMENT ACTUAL</t>
  </si>
  <si>
    <t>TIP ABONAMENT PROPUS</t>
  </si>
  <si>
    <t>----</t>
  </si>
  <si>
    <t>Tabelul 8</t>
  </si>
  <si>
    <t>Tabelul 9</t>
  </si>
  <si>
    <t>la H.C.L. Sighișoara nr. __/____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</si>
</sst>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$-409]#,##0.00;[Red]\-[$$-409]#,##0.00"/>
    <numFmt numFmtId="166" formatCode="#,##0.0000"/>
    <numFmt numFmtId="167" formatCode="dd/mm/yyyy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46" applyFont="1">
      <alignment/>
      <protection/>
    </xf>
    <xf numFmtId="0" fontId="3" fillId="0" borderId="0" xfId="0" applyFont="1" applyAlignment="1">
      <alignment/>
    </xf>
    <xf numFmtId="0" fontId="4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2" fillId="0" borderId="0" xfId="46" applyFont="1" applyAlignment="1">
      <alignment/>
      <protection/>
    </xf>
    <xf numFmtId="0" fontId="4" fillId="0" borderId="0" xfId="46" applyFont="1" applyAlignment="1">
      <alignment horizontal="center"/>
      <protection/>
    </xf>
    <xf numFmtId="0" fontId="4" fillId="33" borderId="0" xfId="46" applyFont="1" applyFill="1">
      <alignment/>
      <protection/>
    </xf>
    <xf numFmtId="4" fontId="4" fillId="0" borderId="0" xfId="46" applyNumberFormat="1" applyFont="1">
      <alignment/>
      <protection/>
    </xf>
    <xf numFmtId="0" fontId="2" fillId="0" borderId="0" xfId="46" applyFont="1" applyFill="1">
      <alignment/>
      <protection/>
    </xf>
    <xf numFmtId="4" fontId="4" fillId="0" borderId="0" xfId="46" applyNumberFormat="1" applyFont="1" applyFill="1">
      <alignment/>
      <protection/>
    </xf>
    <xf numFmtId="4" fontId="2" fillId="0" borderId="0" xfId="46" applyNumberFormat="1" applyFont="1" applyFill="1" applyAlignment="1">
      <alignment horizontal="center"/>
      <protection/>
    </xf>
    <xf numFmtId="4" fontId="2" fillId="0" borderId="0" xfId="46" applyNumberFormat="1" applyFont="1">
      <alignment/>
      <protection/>
    </xf>
    <xf numFmtId="4" fontId="2" fillId="0" borderId="0" xfId="46" applyNumberFormat="1" applyFont="1" applyAlignment="1">
      <alignment horizontal="center"/>
      <protection/>
    </xf>
    <xf numFmtId="4" fontId="4" fillId="0" borderId="0" xfId="46" applyNumberFormat="1" applyFont="1" applyFill="1" applyBorder="1" applyAlignment="1">
      <alignment vertical="center"/>
      <protection/>
    </xf>
    <xf numFmtId="0" fontId="4" fillId="0" borderId="0" xfId="46" applyFont="1" applyAlignment="1">
      <alignment horizontal="left" vertical="center" wrapText="1"/>
      <protection/>
    </xf>
    <xf numFmtId="4" fontId="4" fillId="0" borderId="0" xfId="46" applyNumberFormat="1" applyFont="1" applyAlignment="1">
      <alignment vertical="center" wrapText="1"/>
      <protection/>
    </xf>
    <xf numFmtId="0" fontId="4" fillId="0" borderId="0" xfId="46" applyFont="1" applyFill="1" applyAlignment="1">
      <alignment horizontal="left" vertical="center" wrapText="1"/>
      <protection/>
    </xf>
    <xf numFmtId="4" fontId="4" fillId="0" borderId="0" xfId="46" applyNumberFormat="1" applyFont="1" applyFill="1" applyAlignment="1">
      <alignment vertical="center" wrapText="1"/>
      <protection/>
    </xf>
    <xf numFmtId="4" fontId="2" fillId="0" borderId="0" xfId="46" applyNumberFormat="1" applyFont="1" applyFill="1" applyAlignment="1">
      <alignment horizontal="center" vertical="center"/>
      <protection/>
    </xf>
    <xf numFmtId="4" fontId="4" fillId="0" borderId="0" xfId="46" applyNumberFormat="1" applyFont="1" applyAlignment="1">
      <alignment vertical="center"/>
      <protection/>
    </xf>
    <xf numFmtId="4" fontId="4" fillId="0" borderId="0" xfId="46" applyNumberFormat="1" applyFont="1" applyFill="1" applyAlignment="1">
      <alignment vertical="center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46" applyFont="1" applyFill="1" applyAlignment="1">
      <alignment horizontal="left" vertical="center" wrapText="1"/>
      <protection/>
    </xf>
    <xf numFmtId="4" fontId="2" fillId="0" borderId="0" xfId="46" applyNumberFormat="1" applyFont="1" applyFill="1">
      <alignment/>
      <protection/>
    </xf>
    <xf numFmtId="0" fontId="2" fillId="0" borderId="0" xfId="46" applyNumberFormat="1" applyFont="1">
      <alignment/>
      <protection/>
    </xf>
    <xf numFmtId="0" fontId="4" fillId="0" borderId="0" xfId="4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5" fillId="0" borderId="0" xfId="46" applyFont="1">
      <alignment/>
      <protection/>
    </xf>
    <xf numFmtId="0" fontId="0" fillId="0" borderId="0" xfId="0" applyFont="1" applyAlignment="1">
      <alignment/>
    </xf>
    <xf numFmtId="0" fontId="0" fillId="0" borderId="0" xfId="46" applyFont="1">
      <alignment/>
      <protection/>
    </xf>
    <xf numFmtId="0" fontId="7" fillId="0" borderId="0" xfId="46" applyFont="1">
      <alignment/>
      <protection/>
    </xf>
    <xf numFmtId="0" fontId="5" fillId="0" borderId="0" xfId="0" applyFont="1" applyAlignment="1">
      <alignment/>
    </xf>
    <xf numFmtId="0" fontId="8" fillId="0" borderId="0" xfId="46" applyFont="1" applyAlignment="1">
      <alignment horizontal="center"/>
      <protection/>
    </xf>
    <xf numFmtId="0" fontId="8" fillId="34" borderId="0" xfId="46" applyFont="1" applyFill="1">
      <alignment/>
      <protection/>
    </xf>
    <xf numFmtId="3" fontId="8" fillId="34" borderId="0" xfId="46" applyNumberFormat="1" applyFont="1" applyFill="1">
      <alignment/>
      <protection/>
    </xf>
    <xf numFmtId="4" fontId="8" fillId="34" borderId="0" xfId="46" applyNumberFormat="1" applyFont="1" applyFill="1">
      <alignment/>
      <protection/>
    </xf>
    <xf numFmtId="0" fontId="6" fillId="33" borderId="0" xfId="46" applyFont="1" applyFill="1">
      <alignment/>
      <protection/>
    </xf>
    <xf numFmtId="4" fontId="6" fillId="33" borderId="0" xfId="46" applyNumberFormat="1" applyFont="1" applyFill="1">
      <alignment/>
      <protection/>
    </xf>
    <xf numFmtId="3" fontId="6" fillId="33" borderId="0" xfId="46" applyNumberFormat="1" applyFont="1" applyFill="1">
      <alignment/>
      <protection/>
    </xf>
    <xf numFmtId="4" fontId="8" fillId="33" borderId="0" xfId="46" applyNumberFormat="1" applyFont="1" applyFill="1">
      <alignment/>
      <protection/>
    </xf>
    <xf numFmtId="4" fontId="6" fillId="0" borderId="0" xfId="46" applyNumberFormat="1" applyFont="1">
      <alignment/>
      <protection/>
    </xf>
    <xf numFmtId="3" fontId="6" fillId="0" borderId="0" xfId="46" applyNumberFormat="1" applyFont="1">
      <alignment/>
      <protection/>
    </xf>
    <xf numFmtId="4" fontId="8" fillId="0" borderId="0" xfId="46" applyNumberFormat="1" applyFont="1">
      <alignment/>
      <protection/>
    </xf>
    <xf numFmtId="0" fontId="8" fillId="33" borderId="0" xfId="46" applyFont="1" applyFill="1" applyAlignment="1">
      <alignment vertical="center" wrapText="1"/>
      <protection/>
    </xf>
    <xf numFmtId="4" fontId="6" fillId="33" borderId="0" xfId="46" applyNumberFormat="1" applyFont="1" applyFill="1" applyAlignment="1">
      <alignment vertical="center" wrapText="1"/>
      <protection/>
    </xf>
    <xf numFmtId="3" fontId="6" fillId="33" borderId="0" xfId="46" applyNumberFormat="1" applyFont="1" applyFill="1" applyAlignment="1">
      <alignment vertical="center" wrapText="1"/>
      <protection/>
    </xf>
    <xf numFmtId="4" fontId="6" fillId="33" borderId="0" xfId="46" applyNumberFormat="1" applyFont="1" applyFill="1" applyAlignment="1">
      <alignment vertical="center"/>
      <protection/>
    </xf>
    <xf numFmtId="4" fontId="8" fillId="33" borderId="0" xfId="46" applyNumberFormat="1" applyFont="1" applyFill="1" applyAlignment="1">
      <alignment vertical="center"/>
      <protection/>
    </xf>
    <xf numFmtId="4" fontId="6" fillId="0" borderId="0" xfId="46" applyNumberFormat="1" applyFont="1" applyAlignment="1">
      <alignment vertical="center"/>
      <protection/>
    </xf>
    <xf numFmtId="3" fontId="6" fillId="33" borderId="0" xfId="46" applyNumberFormat="1" applyFont="1" applyFill="1" applyAlignment="1">
      <alignment vertical="center"/>
      <protection/>
    </xf>
    <xf numFmtId="3" fontId="6" fillId="0" borderId="0" xfId="46" applyNumberFormat="1" applyFont="1" applyFill="1">
      <alignment/>
      <protection/>
    </xf>
    <xf numFmtId="0" fontId="0" fillId="33" borderId="0" xfId="0" applyFill="1" applyAlignment="1">
      <alignment/>
    </xf>
    <xf numFmtId="0" fontId="8" fillId="33" borderId="0" xfId="46" applyFont="1" applyFill="1">
      <alignment/>
      <protection/>
    </xf>
    <xf numFmtId="3" fontId="8" fillId="33" borderId="0" xfId="46" applyNumberFormat="1" applyFont="1" applyFill="1">
      <alignment/>
      <protection/>
    </xf>
    <xf numFmtId="0" fontId="8" fillId="0" borderId="0" xfId="46" applyFont="1">
      <alignment/>
      <protection/>
    </xf>
    <xf numFmtId="3" fontId="8" fillId="0" borderId="0" xfId="46" applyNumberFormat="1" applyFont="1">
      <alignment/>
      <protection/>
    </xf>
    <xf numFmtId="0" fontId="8" fillId="34" borderId="0" xfId="46" applyNumberFormat="1" applyFont="1" applyFill="1">
      <alignment/>
      <protection/>
    </xf>
    <xf numFmtId="0" fontId="8" fillId="0" borderId="0" xfId="46" applyNumberFormat="1" applyFont="1">
      <alignment/>
      <protection/>
    </xf>
    <xf numFmtId="4" fontId="8" fillId="0" borderId="0" xfId="46" applyNumberFormat="1" applyFont="1" applyFill="1">
      <alignment/>
      <protection/>
    </xf>
    <xf numFmtId="4" fontId="6" fillId="34" borderId="0" xfId="46" applyNumberFormat="1" applyFont="1" applyFill="1">
      <alignment/>
      <protection/>
    </xf>
    <xf numFmtId="164" fontId="0" fillId="0" borderId="0" xfId="0" applyNumberFormat="1" applyFill="1" applyBorder="1" applyAlignment="1">
      <alignment/>
    </xf>
    <xf numFmtId="4" fontId="6" fillId="0" borderId="0" xfId="46" applyNumberFormat="1" applyFont="1" applyFill="1">
      <alignment/>
      <protection/>
    </xf>
    <xf numFmtId="0" fontId="9" fillId="0" borderId="0" xfId="46" applyFont="1" applyAlignment="1">
      <alignment horizontal="center"/>
      <protection/>
    </xf>
    <xf numFmtId="0" fontId="9" fillId="0" borderId="0" xfId="46" applyFont="1">
      <alignment/>
      <protection/>
    </xf>
    <xf numFmtId="0" fontId="10" fillId="0" borderId="0" xfId="0" applyFont="1" applyAlignment="1">
      <alignment/>
    </xf>
    <xf numFmtId="0" fontId="11" fillId="0" borderId="0" xfId="46" applyFont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46">
      <alignment/>
      <protection/>
    </xf>
    <xf numFmtId="0" fontId="1" fillId="0" borderId="0" xfId="46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/>
    </xf>
    <xf numFmtId="166" fontId="13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166" fontId="0" fillId="35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66" fontId="13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166" fontId="5" fillId="35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46" applyNumberFormat="1" applyFont="1" applyFill="1" applyAlignment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46" applyFont="1" applyFill="1" applyBorder="1">
      <alignment/>
      <protection/>
    </xf>
    <xf numFmtId="0" fontId="0" fillId="0" borderId="10" xfId="0" applyFont="1" applyBorder="1" applyAlignment="1">
      <alignment horizontal="center"/>
    </xf>
    <xf numFmtId="0" fontId="6" fillId="0" borderId="10" xfId="46" applyFont="1" applyBorder="1">
      <alignment/>
      <protection/>
    </xf>
    <xf numFmtId="0" fontId="0" fillId="0" borderId="0" xfId="0" applyFont="1" applyAlignment="1">
      <alignment horizontal="center"/>
    </xf>
    <xf numFmtId="0" fontId="6" fillId="0" borderId="10" xfId="4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46" applyFont="1" applyBorder="1" applyAlignment="1">
      <alignment vertical="center"/>
      <protection/>
    </xf>
    <xf numFmtId="0" fontId="6" fillId="0" borderId="0" xfId="46" applyFont="1" applyFill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46" applyNumberFormat="1" applyFont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>
      <alignment horizontal="center" vertical="center"/>
    </xf>
    <xf numFmtId="0" fontId="8" fillId="33" borderId="10" xfId="46" applyFont="1" applyFill="1" applyBorder="1" applyAlignment="1">
      <alignment horizontal="center"/>
      <protection/>
    </xf>
    <xf numFmtId="0" fontId="15" fillId="33" borderId="13" xfId="0" applyFont="1" applyFill="1" applyBorder="1" applyAlignment="1">
      <alignment horizontal="center" vertical="center"/>
    </xf>
    <xf numFmtId="0" fontId="6" fillId="0" borderId="10" xfId="46" applyFont="1" applyBorder="1" applyAlignment="1">
      <alignment horizontal="center"/>
      <protection/>
    </xf>
    <xf numFmtId="0" fontId="6" fillId="0" borderId="10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5" xfId="46" applyFont="1" applyBorder="1">
      <alignment/>
      <protection/>
    </xf>
    <xf numFmtId="0" fontId="2" fillId="0" borderId="10" xfId="46" applyFont="1" applyBorder="1">
      <alignment/>
      <protection/>
    </xf>
    <xf numFmtId="4" fontId="2" fillId="0" borderId="10" xfId="46" applyNumberFormat="1" applyFont="1" applyBorder="1">
      <alignment/>
      <protection/>
    </xf>
    <xf numFmtId="4" fontId="3" fillId="0" borderId="10" xfId="0" applyNumberFormat="1" applyFont="1" applyBorder="1" applyAlignment="1">
      <alignment horizontal="center"/>
    </xf>
    <xf numFmtId="0" fontId="6" fillId="0" borderId="16" xfId="46" applyFont="1" applyBorder="1">
      <alignment/>
      <protection/>
    </xf>
    <xf numFmtId="0" fontId="6" fillId="0" borderId="17" xfId="46" applyFont="1" applyBorder="1">
      <alignment/>
      <protection/>
    </xf>
    <xf numFmtId="167" fontId="0" fillId="0" borderId="0" xfId="0" applyNumberFormat="1" applyAlignment="1">
      <alignment/>
    </xf>
    <xf numFmtId="0" fontId="6" fillId="0" borderId="18" xfId="46" applyFont="1" applyBorder="1">
      <alignment/>
      <protection/>
    </xf>
    <xf numFmtId="0" fontId="6" fillId="0" borderId="19" xfId="46" applyFont="1" applyBorder="1">
      <alignment/>
      <protection/>
    </xf>
    <xf numFmtId="0" fontId="6" fillId="0" borderId="20" xfId="46" applyFont="1" applyBorder="1">
      <alignment/>
      <protection/>
    </xf>
    <xf numFmtId="0" fontId="6" fillId="0" borderId="21" xfId="46" applyFont="1" applyBorder="1">
      <alignment/>
      <protection/>
    </xf>
    <xf numFmtId="0" fontId="16" fillId="0" borderId="10" xfId="0" applyFont="1" applyFill="1" applyBorder="1" applyAlignment="1">
      <alignment vertical="center" wrapText="1"/>
    </xf>
    <xf numFmtId="167" fontId="17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2" fillId="0" borderId="10" xfId="46" applyNumberFormat="1" applyFont="1" applyBorder="1">
      <alignment/>
      <protection/>
    </xf>
    <xf numFmtId="4" fontId="3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0" fontId="4" fillId="0" borderId="0" xfId="46" applyFont="1" applyFill="1">
      <alignment/>
      <protection/>
    </xf>
    <xf numFmtId="0" fontId="2" fillId="0" borderId="0" xfId="46" applyFont="1" applyFill="1" applyAlignment="1">
      <alignment horizontal="center"/>
      <protection/>
    </xf>
    <xf numFmtId="0" fontId="4" fillId="33" borderId="10" xfId="46" applyFont="1" applyFill="1" applyBorder="1">
      <alignment/>
      <protection/>
    </xf>
    <xf numFmtId="0" fontId="4" fillId="33" borderId="10" xfId="46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2" fillId="0" borderId="10" xfId="46" applyFont="1" applyBorder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33" borderId="10" xfId="46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10" xfId="46" applyFont="1" applyBorder="1">
      <alignment/>
      <protection/>
    </xf>
    <xf numFmtId="4" fontId="2" fillId="0" borderId="10" xfId="46" applyNumberFormat="1" applyFont="1" applyBorder="1">
      <alignment/>
      <protection/>
    </xf>
    <xf numFmtId="4" fontId="0" fillId="0" borderId="10" xfId="0" applyNumberFormat="1" applyBorder="1" applyAlignment="1">
      <alignment horizontal="center"/>
    </xf>
    <xf numFmtId="4" fontId="4" fillId="0" borderId="10" xfId="46" applyNumberFormat="1" applyFont="1" applyBorder="1" applyAlignment="1">
      <alignment horizontal="center"/>
      <protection/>
    </xf>
    <xf numFmtId="0" fontId="2" fillId="0" borderId="10" xfId="46" applyFont="1" applyFill="1" applyBorder="1">
      <alignment/>
      <protection/>
    </xf>
    <xf numFmtId="4" fontId="2" fillId="0" borderId="10" xfId="46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8" fillId="33" borderId="10" xfId="46" applyFont="1" applyFill="1" applyBorder="1">
      <alignment/>
      <protection/>
    </xf>
    <xf numFmtId="0" fontId="8" fillId="33" borderId="10" xfId="46" applyFont="1" applyFill="1" applyBorder="1" applyAlignment="1">
      <alignment horizontal="center"/>
      <protection/>
    </xf>
    <xf numFmtId="0" fontId="6" fillId="0" borderId="10" xfId="46" applyFont="1" applyBorder="1" applyAlignment="1">
      <alignment horizontal="left" vertical="center" wrapText="1"/>
      <protection/>
    </xf>
    <xf numFmtId="4" fontId="8" fillId="0" borderId="10" xfId="46" applyNumberFormat="1" applyFont="1" applyBorder="1" applyAlignment="1">
      <alignment vertical="center"/>
      <protection/>
    </xf>
    <xf numFmtId="4" fontId="8" fillId="0" borderId="10" xfId="46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4" fontId="8" fillId="0" borderId="10" xfId="46" applyNumberFormat="1" applyFont="1" applyBorder="1" applyAlignment="1">
      <alignment vertical="center" wrapText="1"/>
      <protection/>
    </xf>
    <xf numFmtId="4" fontId="8" fillId="0" borderId="10" xfId="46" applyNumberFormat="1" applyFont="1" applyBorder="1">
      <alignment/>
      <protection/>
    </xf>
    <xf numFmtId="0" fontId="6" fillId="0" borderId="10" xfId="46" applyFont="1" applyFill="1" applyBorder="1" applyAlignment="1">
      <alignment horizontal="center"/>
      <protection/>
    </xf>
    <xf numFmtId="0" fontId="6" fillId="0" borderId="10" xfId="46" applyFont="1" applyBorder="1" applyAlignment="1">
      <alignment horizontal="center"/>
      <protection/>
    </xf>
    <xf numFmtId="4" fontId="6" fillId="0" borderId="10" xfId="46" applyNumberFormat="1" applyFont="1" applyBorder="1" applyAlignment="1">
      <alignment horizontal="center" vertical="center"/>
      <protection/>
    </xf>
    <xf numFmtId="4" fontId="6" fillId="0" borderId="10" xfId="46" applyNumberFormat="1" applyFont="1" applyBorder="1">
      <alignment/>
      <protection/>
    </xf>
    <xf numFmtId="0" fontId="8" fillId="33" borderId="10" xfId="46" applyFont="1" applyFill="1" applyBorder="1" applyAlignment="1">
      <alignment horizontal="center" vertical="center"/>
      <protection/>
    </xf>
    <xf numFmtId="4" fontId="8" fillId="0" borderId="10" xfId="46" applyNumberFormat="1" applyFont="1" applyBorder="1">
      <alignment/>
      <protection/>
    </xf>
    <xf numFmtId="4" fontId="0" fillId="0" borderId="10" xfId="0" applyNumberFormat="1" applyFont="1" applyBorder="1" applyAlignment="1">
      <alignment horizontal="center"/>
    </xf>
    <xf numFmtId="0" fontId="2" fillId="0" borderId="10" xfId="46" applyNumberFormat="1" applyFont="1" applyFill="1" applyBorder="1">
      <alignment/>
      <protection/>
    </xf>
    <xf numFmtId="4" fontId="15" fillId="0" borderId="10" xfId="46" applyNumberFormat="1" applyFont="1" applyFill="1" applyBorder="1">
      <alignment/>
      <protection/>
    </xf>
    <xf numFmtId="0" fontId="2" fillId="0" borderId="0" xfId="46" applyFont="1" applyBorder="1" applyAlignment="1">
      <alignment horizontal="left" vertical="center" wrapText="1"/>
      <protection/>
    </xf>
    <xf numFmtId="4" fontId="4" fillId="0" borderId="0" xfId="46" applyNumberFormat="1" applyFont="1" applyBorder="1" applyAlignment="1">
      <alignment vertical="center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4" fontId="4" fillId="0" borderId="0" xfId="46" applyNumberFormat="1" applyFont="1" applyFill="1" applyBorder="1" applyAlignment="1">
      <alignment vertical="center"/>
      <protection/>
    </xf>
    <xf numFmtId="4" fontId="2" fillId="0" borderId="0" xfId="46" applyNumberFormat="1" applyFont="1" applyFill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46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8" fillId="33" borderId="10" xfId="46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46" applyFont="1" applyFill="1" applyBorder="1" applyAlignment="1">
      <alignment horizontal="left" vertical="center" wrapText="1"/>
      <protection/>
    </xf>
    <xf numFmtId="2" fontId="8" fillId="33" borderId="10" xfId="46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46" applyFont="1" applyFill="1" applyBorder="1" applyAlignment="1">
      <alignment horizontal="center" vertical="center"/>
      <protection/>
    </xf>
    <xf numFmtId="0" fontId="8" fillId="33" borderId="10" xfId="46" applyFont="1" applyFill="1" applyBorder="1" applyAlignment="1">
      <alignment horizontal="center"/>
      <protection/>
    </xf>
    <xf numFmtId="0" fontId="1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33" borderId="10" xfId="46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4" fillId="33" borderId="10" xfId="46" applyFont="1" applyFill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2" fillId="0" borderId="10" xfId="46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46" applyFont="1" applyFill="1" applyBorder="1" applyAlignment="1">
      <alignment vertical="center"/>
      <protection/>
    </xf>
    <xf numFmtId="0" fontId="15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I8" sqref="I8"/>
    </sheetView>
  </sheetViews>
  <sheetFormatPr defaultColWidth="11.57421875" defaultRowHeight="12.75"/>
  <cols>
    <col min="1" max="1" width="34.140625" style="1" customWidth="1"/>
    <col min="2" max="2" width="7.7109375" style="1" customWidth="1"/>
    <col min="3" max="3" width="34.28125" style="1" customWidth="1"/>
    <col min="4" max="4" width="9.140625" style="1" customWidth="1"/>
    <col min="5" max="5" width="10.28125" style="1" customWidth="1"/>
    <col min="6" max="254" width="8.7109375" style="1" customWidth="1"/>
    <col min="255" max="255" width="11.57421875" style="2" customWidth="1"/>
  </cols>
  <sheetData>
    <row r="1" spans="1:4" ht="15">
      <c r="A1" s="3" t="s">
        <v>0</v>
      </c>
      <c r="D1" s="3" t="s">
        <v>1</v>
      </c>
    </row>
    <row r="2" spans="1:4" ht="14.25">
      <c r="A2" s="1" t="s">
        <v>2</v>
      </c>
      <c r="D2" s="4" t="s">
        <v>254</v>
      </c>
    </row>
    <row r="3" ht="14.25">
      <c r="A3" s="1" t="s">
        <v>3</v>
      </c>
    </row>
    <row r="5" spans="1:6" ht="15">
      <c r="A5" s="221" t="s">
        <v>4</v>
      </c>
      <c r="B5" s="221"/>
      <c r="C5" s="221"/>
      <c r="D5" s="221"/>
      <c r="E5" s="221"/>
      <c r="F5" s="6"/>
    </row>
    <row r="6" spans="1:6" ht="14.25">
      <c r="A6" s="222" t="s">
        <v>5</v>
      </c>
      <c r="B6" s="222"/>
      <c r="C6" s="222"/>
      <c r="D6" s="222"/>
      <c r="E6" s="222"/>
      <c r="F6" s="6"/>
    </row>
    <row r="7" spans="1:6" ht="14.25">
      <c r="A7" s="222" t="s">
        <v>6</v>
      </c>
      <c r="B7" s="222"/>
      <c r="C7" s="222"/>
      <c r="D7" s="222"/>
      <c r="E7" s="222"/>
      <c r="F7" s="6"/>
    </row>
    <row r="9" spans="1:5" ht="15">
      <c r="A9" s="3" t="s">
        <v>7</v>
      </c>
      <c r="B9" s="5" t="s">
        <v>8</v>
      </c>
      <c r="C9" s="3" t="s">
        <v>9</v>
      </c>
      <c r="D9" s="5" t="s">
        <v>8</v>
      </c>
      <c r="E9" s="7" t="s">
        <v>10</v>
      </c>
    </row>
    <row r="10" spans="2:5" ht="15">
      <c r="B10" s="7" t="s">
        <v>11</v>
      </c>
      <c r="C10" s="7"/>
      <c r="D10" s="7" t="s">
        <v>12</v>
      </c>
      <c r="E10" s="7" t="s">
        <v>13</v>
      </c>
    </row>
    <row r="11" spans="2:5" ht="14.25">
      <c r="B11" s="4" t="s">
        <v>14</v>
      </c>
      <c r="C11" s="4"/>
      <c r="D11" s="4" t="s">
        <v>14</v>
      </c>
      <c r="E11" s="4"/>
    </row>
    <row r="12" spans="1:3" ht="15">
      <c r="A12" s="8" t="s">
        <v>15</v>
      </c>
      <c r="C12" s="8" t="s">
        <v>15</v>
      </c>
    </row>
    <row r="13" spans="1:5" ht="15">
      <c r="A13" s="1" t="s">
        <v>16</v>
      </c>
      <c r="B13" s="9">
        <v>2</v>
      </c>
      <c r="C13" s="10" t="s">
        <v>16</v>
      </c>
      <c r="D13" s="11">
        <v>2.5</v>
      </c>
      <c r="E13" s="12">
        <f>D13/B13*100-100</f>
        <v>25</v>
      </c>
    </row>
    <row r="14" spans="1:5" ht="15">
      <c r="A14" s="1" t="s">
        <v>17</v>
      </c>
      <c r="B14" s="9">
        <v>4</v>
      </c>
      <c r="C14" s="10" t="s">
        <v>17</v>
      </c>
      <c r="D14" s="11">
        <v>5</v>
      </c>
      <c r="E14" s="12">
        <f>D14/B14*100-100</f>
        <v>25</v>
      </c>
    </row>
    <row r="15" spans="1:5" ht="15">
      <c r="A15" s="1" t="s">
        <v>18</v>
      </c>
      <c r="B15" s="9">
        <v>6</v>
      </c>
      <c r="C15" s="10"/>
      <c r="D15" s="11"/>
      <c r="E15" s="12"/>
    </row>
    <row r="16" spans="1:5" ht="15">
      <c r="A16" s="1" t="s">
        <v>19</v>
      </c>
      <c r="B16" s="9">
        <v>3.1</v>
      </c>
      <c r="C16" s="10"/>
      <c r="D16" s="11"/>
      <c r="E16" s="12"/>
    </row>
    <row r="17" spans="1:5" ht="15">
      <c r="A17" s="1" t="s">
        <v>20</v>
      </c>
      <c r="B17" s="9">
        <v>10</v>
      </c>
      <c r="C17" s="10" t="s">
        <v>20</v>
      </c>
      <c r="D17" s="11">
        <v>15</v>
      </c>
      <c r="E17" s="12">
        <f>D17/B17*100-100</f>
        <v>50</v>
      </c>
    </row>
    <row r="18" spans="2:5" ht="15">
      <c r="B18" s="13"/>
      <c r="C18" s="13"/>
      <c r="D18" s="9"/>
      <c r="E18" s="14"/>
    </row>
    <row r="19" spans="1:5" ht="15">
      <c r="A19" s="8" t="s">
        <v>21</v>
      </c>
      <c r="B19" s="13"/>
      <c r="C19" s="8" t="s">
        <v>21</v>
      </c>
      <c r="D19" s="9"/>
      <c r="E19" s="14"/>
    </row>
    <row r="20" spans="1:5" ht="12.75" customHeight="1">
      <c r="A20" s="223" t="s">
        <v>22</v>
      </c>
      <c r="B20" s="217">
        <v>64</v>
      </c>
      <c r="C20" s="224" t="s">
        <v>22</v>
      </c>
      <c r="D20" s="219">
        <v>69</v>
      </c>
      <c r="E20" s="220">
        <f>D20/B20*100-100</f>
        <v>7.8125</v>
      </c>
    </row>
    <row r="21" spans="1:5" ht="14.25">
      <c r="A21" s="223" t="s">
        <v>22</v>
      </c>
      <c r="B21" s="217"/>
      <c r="C21" s="224" t="s">
        <v>22</v>
      </c>
      <c r="D21" s="219"/>
      <c r="E21" s="220" t="e">
        <f>D21/B21*100-100</f>
        <v>#DIV/0!</v>
      </c>
    </row>
    <row r="22" spans="1:5" ht="14.25">
      <c r="A22" s="223" t="s">
        <v>22</v>
      </c>
      <c r="B22" s="217"/>
      <c r="C22" s="224" t="s">
        <v>22</v>
      </c>
      <c r="D22" s="219"/>
      <c r="E22" s="220" t="e">
        <f>D22/B22*100-100</f>
        <v>#DIV/0!</v>
      </c>
    </row>
    <row r="23" spans="1:5" ht="30">
      <c r="A23" s="16" t="s">
        <v>23</v>
      </c>
      <c r="B23" s="17">
        <v>74</v>
      </c>
      <c r="C23" s="18" t="s">
        <v>23</v>
      </c>
      <c r="D23" s="19">
        <v>79</v>
      </c>
      <c r="E23" s="20">
        <f>D23/B23*100-100</f>
        <v>6.756756756756758</v>
      </c>
    </row>
    <row r="24" spans="1:5" ht="30">
      <c r="A24" s="16" t="s">
        <v>24</v>
      </c>
      <c r="B24" s="21">
        <v>116</v>
      </c>
      <c r="C24" s="18" t="s">
        <v>25</v>
      </c>
      <c r="D24" s="22">
        <v>99</v>
      </c>
      <c r="E24" s="20">
        <f>D24/B24*100-100</f>
        <v>-14.65517241379311</v>
      </c>
    </row>
    <row r="25" spans="1:5" ht="15">
      <c r="A25" s="1" t="s">
        <v>26</v>
      </c>
      <c r="B25" s="13">
        <v>75</v>
      </c>
      <c r="D25" s="9"/>
      <c r="E25" s="14"/>
    </row>
    <row r="26" spans="1:5" ht="15">
      <c r="A26" s="1" t="s">
        <v>27</v>
      </c>
      <c r="B26" s="13">
        <v>63</v>
      </c>
      <c r="D26" s="9"/>
      <c r="E26" s="14"/>
    </row>
    <row r="27" spans="2:5" ht="15">
      <c r="B27" s="13"/>
      <c r="C27" s="13"/>
      <c r="D27" s="9"/>
      <c r="E27" s="14"/>
    </row>
    <row r="28" spans="1:5" ht="15">
      <c r="A28" s="8" t="s">
        <v>28</v>
      </c>
      <c r="B28" s="13"/>
      <c r="C28" s="8" t="s">
        <v>29</v>
      </c>
      <c r="D28" s="9"/>
      <c r="E28" s="14"/>
    </row>
    <row r="29" spans="1:5" ht="12.75" customHeight="1">
      <c r="A29" s="216" t="s">
        <v>30</v>
      </c>
      <c r="B29" s="217">
        <f>B20/2</f>
        <v>32</v>
      </c>
      <c r="C29" s="218" t="s">
        <v>31</v>
      </c>
      <c r="D29" s="219">
        <v>35</v>
      </c>
      <c r="E29" s="220">
        <f>D29/B29*100-100</f>
        <v>9.375</v>
      </c>
    </row>
    <row r="30" spans="1:5" ht="14.25">
      <c r="A30" s="216" t="s">
        <v>32</v>
      </c>
      <c r="B30" s="217"/>
      <c r="C30" s="218" t="s">
        <v>32</v>
      </c>
      <c r="D30" s="219"/>
      <c r="E30" s="220" t="e">
        <f>D30/B30*100-100</f>
        <v>#DIV/0!</v>
      </c>
    </row>
    <row r="31" spans="1:5" ht="14.25">
      <c r="A31" s="216" t="s">
        <v>32</v>
      </c>
      <c r="B31" s="217"/>
      <c r="C31" s="218" t="s">
        <v>32</v>
      </c>
      <c r="D31" s="219"/>
      <c r="E31" s="220" t="e">
        <f>D31/B31*100-100</f>
        <v>#DIV/0!</v>
      </c>
    </row>
    <row r="32" spans="1:5" ht="28.5">
      <c r="A32" s="23" t="s">
        <v>33</v>
      </c>
      <c r="B32" s="21">
        <v>37</v>
      </c>
      <c r="C32" s="24" t="s">
        <v>33</v>
      </c>
      <c r="D32" s="22">
        <v>40</v>
      </c>
      <c r="E32" s="20">
        <f>D32/B32*100-100</f>
        <v>8.108108108108112</v>
      </c>
    </row>
    <row r="33" spans="1:5" ht="28.5">
      <c r="A33" s="23" t="s">
        <v>34</v>
      </c>
      <c r="B33" s="21">
        <v>58</v>
      </c>
      <c r="C33" s="24" t="s">
        <v>35</v>
      </c>
      <c r="D33" s="22">
        <v>50</v>
      </c>
      <c r="E33" s="20">
        <f>D33/B33*100-100</f>
        <v>-13.793103448275872</v>
      </c>
    </row>
    <row r="34" spans="1:5" ht="15">
      <c r="A34" s="1" t="s">
        <v>36</v>
      </c>
      <c r="B34" s="13">
        <f>B25/2</f>
        <v>37.5</v>
      </c>
      <c r="D34" s="9"/>
      <c r="E34" s="14"/>
    </row>
    <row r="35" spans="1:5" ht="15">
      <c r="A35" s="1" t="s">
        <v>37</v>
      </c>
      <c r="B35" s="13">
        <f>B26/2</f>
        <v>31.5</v>
      </c>
      <c r="D35" s="9"/>
      <c r="E35" s="14"/>
    </row>
    <row r="36" spans="2:5" ht="15">
      <c r="B36" s="13"/>
      <c r="D36" s="9"/>
      <c r="E36" s="14"/>
    </row>
    <row r="37" spans="1:5" ht="15">
      <c r="A37" s="8" t="s">
        <v>38</v>
      </c>
      <c r="B37" s="13"/>
      <c r="C37" s="8" t="s">
        <v>38</v>
      </c>
      <c r="D37" s="9"/>
      <c r="E37" s="14"/>
    </row>
    <row r="38" spans="1:5" ht="15">
      <c r="A38" s="1" t="s">
        <v>39</v>
      </c>
      <c r="B38" s="13">
        <v>40</v>
      </c>
      <c r="C38" s="10" t="s">
        <v>39</v>
      </c>
      <c r="D38" s="11">
        <v>40</v>
      </c>
      <c r="E38" s="12">
        <f>D38/B38*100-100</f>
        <v>0</v>
      </c>
    </row>
    <row r="39" spans="1:5" ht="15">
      <c r="A39" s="1" t="s">
        <v>40</v>
      </c>
      <c r="B39" s="13">
        <v>25</v>
      </c>
      <c r="C39" s="10" t="s">
        <v>40</v>
      </c>
      <c r="D39" s="11">
        <v>25</v>
      </c>
      <c r="E39" s="12">
        <f>D39/B39*100-100</f>
        <v>0</v>
      </c>
    </row>
    <row r="40" spans="2:5" ht="15">
      <c r="B40" s="13"/>
      <c r="D40" s="9"/>
      <c r="E40" s="14"/>
    </row>
    <row r="41" spans="1:5" ht="15">
      <c r="A41" s="8" t="s">
        <v>41</v>
      </c>
      <c r="B41" s="13"/>
      <c r="C41" s="8" t="s">
        <v>41</v>
      </c>
      <c r="D41" s="9"/>
      <c r="E41" s="14"/>
    </row>
    <row r="42" spans="1:5" ht="15">
      <c r="A42" s="1" t="s">
        <v>42</v>
      </c>
      <c r="B42" s="9">
        <v>8</v>
      </c>
      <c r="C42" s="10" t="s">
        <v>42</v>
      </c>
      <c r="D42" s="11">
        <v>10</v>
      </c>
      <c r="E42" s="12">
        <f>D42/B42*100-100</f>
        <v>25</v>
      </c>
    </row>
    <row r="43" spans="1:5" ht="15">
      <c r="A43" s="1" t="s">
        <v>43</v>
      </c>
      <c r="B43" s="9">
        <v>18</v>
      </c>
      <c r="C43" s="10" t="s">
        <v>43</v>
      </c>
      <c r="D43" s="11">
        <v>21</v>
      </c>
      <c r="E43" s="12">
        <f>D43/B43*100-100</f>
        <v>16.66666666666667</v>
      </c>
    </row>
    <row r="44" spans="2:5" ht="15">
      <c r="B44" s="13"/>
      <c r="C44" s="13"/>
      <c r="D44" s="9"/>
      <c r="E44" s="14"/>
    </row>
    <row r="45" spans="1:5" ht="15">
      <c r="A45" s="8" t="s">
        <v>44</v>
      </c>
      <c r="B45" s="13"/>
      <c r="C45" s="8" t="s">
        <v>44</v>
      </c>
      <c r="D45" s="9"/>
      <c r="E45" s="14"/>
    </row>
    <row r="46" spans="1:5" ht="15">
      <c r="A46" s="1" t="s">
        <v>45</v>
      </c>
      <c r="B46" s="13">
        <v>100</v>
      </c>
      <c r="C46" s="10" t="s">
        <v>45</v>
      </c>
      <c r="D46" s="11">
        <v>100</v>
      </c>
      <c r="E46" s="12">
        <f>D46/B46*100-100</f>
        <v>0</v>
      </c>
    </row>
    <row r="47" spans="1:5" ht="15">
      <c r="A47" s="13" t="s">
        <v>46</v>
      </c>
      <c r="B47" s="13">
        <v>50</v>
      </c>
      <c r="C47" s="25" t="s">
        <v>46</v>
      </c>
      <c r="D47" s="11">
        <v>50</v>
      </c>
      <c r="E47" s="12">
        <f>D47/B47*100-100</f>
        <v>0</v>
      </c>
    </row>
    <row r="48" spans="1:5" ht="14.25">
      <c r="A48" s="26"/>
      <c r="B48" s="13"/>
      <c r="C48" s="26"/>
      <c r="D48" s="13"/>
      <c r="E48" s="14"/>
    </row>
    <row r="49" spans="1:5" ht="15">
      <c r="A49" s="27" t="s">
        <v>49</v>
      </c>
      <c r="B49" s="7"/>
      <c r="C49"/>
      <c r="D49" s="7" t="s">
        <v>50</v>
      </c>
      <c r="E49" s="30"/>
    </row>
    <row r="50" spans="1:5" ht="14.25">
      <c r="A50" s="4" t="s">
        <v>51</v>
      </c>
      <c r="C50"/>
      <c r="D50" s="4" t="s">
        <v>52</v>
      </c>
      <c r="E50" s="30"/>
    </row>
  </sheetData>
  <sheetProtection selectLockedCells="1" selectUnlockedCells="1"/>
  <mergeCells count="13">
    <mergeCell ref="C20:C22"/>
    <mergeCell ref="D20:D22"/>
    <mergeCell ref="E20:E22"/>
    <mergeCell ref="A29:A31"/>
    <mergeCell ref="B29:B31"/>
    <mergeCell ref="C29:C31"/>
    <mergeCell ref="D29:D31"/>
    <mergeCell ref="E29:E31"/>
    <mergeCell ref="A5:E5"/>
    <mergeCell ref="A6:E6"/>
    <mergeCell ref="A7:E7"/>
    <mergeCell ref="A20:A22"/>
    <mergeCell ref="B20:B22"/>
  </mergeCells>
  <printOptions/>
  <pageMargins left="0.7" right="0.7" top="0.75" bottom="0.75" header="0.5118055555555555" footer="0.5118055555555555"/>
  <pageSetup horizontalDpi="300" verticalDpi="300" orientation="portrait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4">
      <selection activeCell="A49" sqref="A49:E50"/>
    </sheetView>
  </sheetViews>
  <sheetFormatPr defaultColWidth="11.57421875" defaultRowHeight="12.75"/>
  <cols>
    <col min="1" max="1" width="34.140625" style="1" customWidth="1"/>
    <col min="2" max="2" width="7.7109375" style="1" customWidth="1"/>
    <col min="3" max="3" width="35.00390625" style="1" customWidth="1"/>
    <col min="4" max="4" width="9.140625" style="1" customWidth="1"/>
    <col min="5" max="5" width="10.28125" style="1" customWidth="1"/>
    <col min="6" max="254" width="8.7109375" style="1" customWidth="1"/>
    <col min="255" max="255" width="11.57421875" style="2" customWidth="1"/>
  </cols>
  <sheetData>
    <row r="1" spans="1:5" ht="15">
      <c r="A1" s="3" t="s">
        <v>0</v>
      </c>
      <c r="D1" s="3"/>
      <c r="E1" s="28" t="s">
        <v>1</v>
      </c>
    </row>
    <row r="2" spans="1:5" ht="14.25">
      <c r="A2" s="1" t="s">
        <v>2</v>
      </c>
      <c r="D2" s="4"/>
      <c r="E2" s="29" t="s">
        <v>47</v>
      </c>
    </row>
    <row r="3" ht="14.25">
      <c r="A3" s="1" t="s">
        <v>3</v>
      </c>
    </row>
    <row r="5" spans="1:6" ht="15">
      <c r="A5" s="221" t="s">
        <v>4</v>
      </c>
      <c r="B5" s="221"/>
      <c r="C5" s="221"/>
      <c r="D5" s="221"/>
      <c r="E5" s="221"/>
      <c r="F5" s="6"/>
    </row>
    <row r="6" spans="1:6" ht="14.25">
      <c r="A6" s="222" t="s">
        <v>5</v>
      </c>
      <c r="B6" s="222"/>
      <c r="C6" s="222"/>
      <c r="D6" s="222"/>
      <c r="E6" s="222"/>
      <c r="F6" s="6"/>
    </row>
    <row r="7" spans="1:6" ht="14.25">
      <c r="A7" s="222" t="s">
        <v>6</v>
      </c>
      <c r="B7" s="222"/>
      <c r="C7" s="222"/>
      <c r="D7" s="222"/>
      <c r="E7" s="222"/>
      <c r="F7" s="6"/>
    </row>
    <row r="9" spans="1:5" ht="15">
      <c r="A9" s="3" t="s">
        <v>7</v>
      </c>
      <c r="B9" s="5" t="s">
        <v>8</v>
      </c>
      <c r="C9" s="3" t="s">
        <v>9</v>
      </c>
      <c r="D9" s="5" t="s">
        <v>8</v>
      </c>
      <c r="E9" s="7" t="s">
        <v>10</v>
      </c>
    </row>
    <row r="10" spans="2:5" ht="15">
      <c r="B10" s="7" t="s">
        <v>11</v>
      </c>
      <c r="C10" s="7"/>
      <c r="D10" s="7" t="s">
        <v>12</v>
      </c>
      <c r="E10" s="7" t="s">
        <v>48</v>
      </c>
    </row>
    <row r="11" spans="2:5" ht="14.25">
      <c r="B11" s="4" t="s">
        <v>14</v>
      </c>
      <c r="C11" s="4"/>
      <c r="D11" s="4" t="s">
        <v>14</v>
      </c>
      <c r="E11" s="4"/>
    </row>
    <row r="12" spans="1:3" ht="15">
      <c r="A12" s="8" t="s">
        <v>15</v>
      </c>
      <c r="C12" s="8" t="s">
        <v>15</v>
      </c>
    </row>
    <row r="13" spans="1:5" ht="15">
      <c r="A13" s="1" t="s">
        <v>16</v>
      </c>
      <c r="B13" s="9">
        <v>2</v>
      </c>
      <c r="C13" s="10" t="s">
        <v>16</v>
      </c>
      <c r="D13" s="11">
        <v>2.5</v>
      </c>
      <c r="E13" s="12">
        <f>D13/B13*100-100</f>
        <v>25</v>
      </c>
    </row>
    <row r="14" spans="1:5" ht="15">
      <c r="A14" s="1" t="s">
        <v>17</v>
      </c>
      <c r="B14" s="9">
        <v>4</v>
      </c>
      <c r="C14" s="10" t="s">
        <v>17</v>
      </c>
      <c r="D14" s="11">
        <v>5</v>
      </c>
      <c r="E14" s="12">
        <f>D14/B14*100-100</f>
        <v>25</v>
      </c>
    </row>
    <row r="15" spans="1:5" ht="15">
      <c r="A15" s="1" t="s">
        <v>18</v>
      </c>
      <c r="B15" s="9">
        <v>6</v>
      </c>
      <c r="C15" s="10"/>
      <c r="D15" s="11"/>
      <c r="E15" s="12"/>
    </row>
    <row r="16" spans="1:5" ht="15">
      <c r="A16" s="1" t="s">
        <v>19</v>
      </c>
      <c r="B16" s="9">
        <v>3.1</v>
      </c>
      <c r="C16" s="10"/>
      <c r="D16" s="11"/>
      <c r="E16" s="12"/>
    </row>
    <row r="17" spans="1:5" ht="15">
      <c r="A17" s="1" t="s">
        <v>20</v>
      </c>
      <c r="B17" s="9">
        <v>10</v>
      </c>
      <c r="C17" s="10" t="s">
        <v>20</v>
      </c>
      <c r="D17" s="11">
        <v>15</v>
      </c>
      <c r="E17" s="12">
        <f>D17/B17*100-100</f>
        <v>50</v>
      </c>
    </row>
    <row r="18" spans="2:5" ht="15">
      <c r="B18" s="13"/>
      <c r="C18" s="13"/>
      <c r="D18" s="9"/>
      <c r="E18" s="14"/>
    </row>
    <row r="19" spans="1:5" ht="15">
      <c r="A19" s="8" t="s">
        <v>21</v>
      </c>
      <c r="B19" s="13"/>
      <c r="C19" s="8" t="s">
        <v>21</v>
      </c>
      <c r="D19" s="9"/>
      <c r="E19" s="14"/>
    </row>
    <row r="20" spans="1:5" ht="12.75" customHeight="1">
      <c r="A20" s="223" t="s">
        <v>22</v>
      </c>
      <c r="B20" s="217">
        <v>64</v>
      </c>
      <c r="C20" s="224" t="s">
        <v>22</v>
      </c>
      <c r="D20" s="219">
        <f>'Lista tarife - Anexa 1 HCL'!D20</f>
        <v>69</v>
      </c>
      <c r="E20" s="220">
        <f>D20/B20*100-100</f>
        <v>7.8125</v>
      </c>
    </row>
    <row r="21" spans="1:5" ht="14.25">
      <c r="A21" s="223" t="s">
        <v>22</v>
      </c>
      <c r="B21" s="217"/>
      <c r="C21" s="224" t="s">
        <v>22</v>
      </c>
      <c r="D21" s="219">
        <f>'Lista tarife - Anexa 1 HCL'!D21</f>
        <v>0</v>
      </c>
      <c r="E21" s="220" t="e">
        <f>D21/B21*100-100</f>
        <v>#DIV/0!</v>
      </c>
    </row>
    <row r="22" spans="1:5" ht="14.25">
      <c r="A22" s="223" t="s">
        <v>22</v>
      </c>
      <c r="B22" s="217"/>
      <c r="C22" s="224" t="s">
        <v>22</v>
      </c>
      <c r="D22" s="219">
        <f>'Lista tarife - Anexa 1 HCL'!D22</f>
        <v>0</v>
      </c>
      <c r="E22" s="220" t="e">
        <f>D22/B22*100-100</f>
        <v>#DIV/0!</v>
      </c>
    </row>
    <row r="23" spans="1:5" ht="30">
      <c r="A23" s="16" t="s">
        <v>23</v>
      </c>
      <c r="B23" s="17">
        <v>74</v>
      </c>
      <c r="C23" s="18" t="s">
        <v>23</v>
      </c>
      <c r="D23" s="15">
        <f>'Lista tarife - Anexa 1 HCL'!D23</f>
        <v>79</v>
      </c>
      <c r="E23" s="20">
        <f>D23/B23*100-100</f>
        <v>6.756756756756758</v>
      </c>
    </row>
    <row r="24" spans="1:5" ht="30">
      <c r="A24" s="16" t="s">
        <v>24</v>
      </c>
      <c r="B24" s="21">
        <v>116</v>
      </c>
      <c r="C24" s="18" t="s">
        <v>25</v>
      </c>
      <c r="D24" s="15">
        <f>'Lista tarife - Anexa 1 HCL'!D24</f>
        <v>99</v>
      </c>
      <c r="E24" s="20">
        <f>D24/B24*100-100</f>
        <v>-14.65517241379311</v>
      </c>
    </row>
    <row r="25" spans="1:5" ht="15">
      <c r="A25" s="1" t="s">
        <v>26</v>
      </c>
      <c r="B25" s="13">
        <v>75</v>
      </c>
      <c r="C25" s="10"/>
      <c r="D25" s="11"/>
      <c r="E25" s="12"/>
    </row>
    <row r="26" spans="1:5" ht="15">
      <c r="A26" s="1" t="s">
        <v>27</v>
      </c>
      <c r="B26" s="13">
        <v>63</v>
      </c>
      <c r="D26" s="9"/>
      <c r="E26" s="14"/>
    </row>
    <row r="27" spans="2:5" ht="15">
      <c r="B27" s="13"/>
      <c r="C27" s="13"/>
      <c r="D27" s="9"/>
      <c r="E27" s="14"/>
    </row>
    <row r="28" spans="1:5" ht="15">
      <c r="A28" s="8" t="s">
        <v>28</v>
      </c>
      <c r="B28" s="13"/>
      <c r="C28" s="8" t="s">
        <v>28</v>
      </c>
      <c r="D28" s="9"/>
      <c r="E28" s="14"/>
    </row>
    <row r="29" spans="1:5" ht="12.75" customHeight="1">
      <c r="A29" s="216" t="s">
        <v>30</v>
      </c>
      <c r="B29" s="217">
        <f>B20/2</f>
        <v>32</v>
      </c>
      <c r="C29" s="218" t="s">
        <v>31</v>
      </c>
      <c r="D29" s="219">
        <f>'Lista tarife - Anexa 1 HCL'!D29</f>
        <v>35</v>
      </c>
      <c r="E29" s="220">
        <f>D29/B29*100-100</f>
        <v>9.375</v>
      </c>
    </row>
    <row r="30" spans="1:5" ht="14.25">
      <c r="A30" s="216" t="s">
        <v>32</v>
      </c>
      <c r="B30" s="217"/>
      <c r="C30" s="218" t="s">
        <v>32</v>
      </c>
      <c r="D30" s="219">
        <f>'Lista tarife - Anexa 1 HCL'!D30</f>
        <v>0</v>
      </c>
      <c r="E30" s="220" t="e">
        <f>D30/B30*100-100</f>
        <v>#DIV/0!</v>
      </c>
    </row>
    <row r="31" spans="1:5" ht="14.25">
      <c r="A31" s="216" t="s">
        <v>32</v>
      </c>
      <c r="B31" s="217"/>
      <c r="C31" s="218" t="s">
        <v>32</v>
      </c>
      <c r="D31" s="219">
        <f>'Lista tarife - Anexa 1 HCL'!D31</f>
        <v>0</v>
      </c>
      <c r="E31" s="220" t="e">
        <f>D31/B31*100-100</f>
        <v>#DIV/0!</v>
      </c>
    </row>
    <row r="32" spans="1:5" ht="28.5">
      <c r="A32" s="23" t="s">
        <v>33</v>
      </c>
      <c r="B32" s="21">
        <v>37</v>
      </c>
      <c r="C32" s="24" t="s">
        <v>33</v>
      </c>
      <c r="D32" s="15">
        <f>'Lista tarife - Anexa 1 HCL'!D32</f>
        <v>40</v>
      </c>
      <c r="E32" s="20">
        <f>D32/B32*100-100</f>
        <v>8.108108108108112</v>
      </c>
    </row>
    <row r="33" spans="1:5" ht="28.5">
      <c r="A33" s="23" t="s">
        <v>34</v>
      </c>
      <c r="B33" s="21">
        <v>58</v>
      </c>
      <c r="C33" s="24" t="s">
        <v>35</v>
      </c>
      <c r="D33" s="15">
        <f>'Lista tarife - Anexa 1 HCL'!D33</f>
        <v>50</v>
      </c>
      <c r="E33" s="20">
        <f>D33/B33*100-100</f>
        <v>-13.793103448275872</v>
      </c>
    </row>
    <row r="34" spans="1:5" ht="15">
      <c r="A34" s="1" t="s">
        <v>36</v>
      </c>
      <c r="B34" s="13">
        <f>B25/2</f>
        <v>37.5</v>
      </c>
      <c r="C34" s="10"/>
      <c r="D34" s="11"/>
      <c r="E34" s="12"/>
    </row>
    <row r="35" spans="1:5" ht="15">
      <c r="A35" s="1" t="s">
        <v>37</v>
      </c>
      <c r="B35" s="13">
        <f>B26/2</f>
        <v>31.5</v>
      </c>
      <c r="C35" s="10"/>
      <c r="D35" s="11"/>
      <c r="E35" s="12"/>
    </row>
    <row r="36" spans="2:5" ht="15">
      <c r="B36" s="13"/>
      <c r="D36" s="9"/>
      <c r="E36" s="14"/>
    </row>
    <row r="37" spans="1:5" ht="15">
      <c r="A37" s="8" t="s">
        <v>38</v>
      </c>
      <c r="B37" s="13"/>
      <c r="C37" s="8" t="s">
        <v>38</v>
      </c>
      <c r="D37" s="9"/>
      <c r="E37" s="14"/>
    </row>
    <row r="38" spans="1:5" ht="15">
      <c r="A38" s="1" t="s">
        <v>39</v>
      </c>
      <c r="B38" s="13">
        <v>40</v>
      </c>
      <c r="C38" s="10" t="s">
        <v>39</v>
      </c>
      <c r="D38" s="11">
        <v>40</v>
      </c>
      <c r="E38" s="12">
        <f>D38/B38*100-100</f>
        <v>0</v>
      </c>
    </row>
    <row r="39" spans="1:5" ht="15">
      <c r="A39" s="1" t="s">
        <v>40</v>
      </c>
      <c r="B39" s="13">
        <v>25</v>
      </c>
      <c r="C39" s="10" t="s">
        <v>40</v>
      </c>
      <c r="D39" s="11">
        <v>25</v>
      </c>
      <c r="E39" s="12">
        <f>D39/B39*100-100</f>
        <v>0</v>
      </c>
    </row>
    <row r="40" spans="2:5" ht="15">
      <c r="B40" s="13"/>
      <c r="D40" s="9"/>
      <c r="E40" s="14"/>
    </row>
    <row r="41" spans="1:5" ht="15">
      <c r="A41" s="8" t="s">
        <v>41</v>
      </c>
      <c r="B41" s="13"/>
      <c r="C41" s="8" t="s">
        <v>41</v>
      </c>
      <c r="D41" s="9"/>
      <c r="E41" s="14"/>
    </row>
    <row r="42" spans="1:5" ht="15">
      <c r="A42" s="1" t="s">
        <v>42</v>
      </c>
      <c r="B42" s="9">
        <v>8</v>
      </c>
      <c r="C42" s="10" t="s">
        <v>42</v>
      </c>
      <c r="D42" s="11">
        <v>10</v>
      </c>
      <c r="E42" s="12">
        <f>D42/B42*100-100</f>
        <v>25</v>
      </c>
    </row>
    <row r="43" spans="1:5" ht="15">
      <c r="A43" s="1" t="s">
        <v>43</v>
      </c>
      <c r="B43" s="9">
        <v>18</v>
      </c>
      <c r="C43" s="10" t="s">
        <v>43</v>
      </c>
      <c r="D43" s="11">
        <v>21</v>
      </c>
      <c r="E43" s="12">
        <f>D43/B43*100-100</f>
        <v>16.66666666666667</v>
      </c>
    </row>
    <row r="44" spans="2:5" ht="15">
      <c r="B44" s="13"/>
      <c r="C44" s="13"/>
      <c r="D44" s="9"/>
      <c r="E44" s="14"/>
    </row>
    <row r="45" spans="1:5" ht="15">
      <c r="A45" s="8" t="s">
        <v>44</v>
      </c>
      <c r="B45" s="13"/>
      <c r="C45" s="8" t="s">
        <v>44</v>
      </c>
      <c r="D45" s="9"/>
      <c r="E45" s="14"/>
    </row>
    <row r="46" spans="1:5" ht="15">
      <c r="A46" s="1" t="s">
        <v>45</v>
      </c>
      <c r="B46" s="13">
        <v>100</v>
      </c>
      <c r="C46" s="10" t="s">
        <v>45</v>
      </c>
      <c r="D46" s="11">
        <v>100</v>
      </c>
      <c r="E46" s="12">
        <f>D46/B46*100-100</f>
        <v>0</v>
      </c>
    </row>
    <row r="47" spans="1:5" ht="15">
      <c r="A47" s="13" t="s">
        <v>46</v>
      </c>
      <c r="B47" s="13">
        <v>50</v>
      </c>
      <c r="C47" s="25" t="s">
        <v>46</v>
      </c>
      <c r="D47" s="11">
        <v>50</v>
      </c>
      <c r="E47" s="12">
        <f>D47/B47*100-100</f>
        <v>0</v>
      </c>
    </row>
    <row r="48" spans="1:5" ht="14.25">
      <c r="A48" s="26"/>
      <c r="B48" s="13"/>
      <c r="C48" s="26"/>
      <c r="D48" s="13"/>
      <c r="E48" s="14"/>
    </row>
    <row r="49" spans="1:11" ht="15">
      <c r="A49" s="27" t="s">
        <v>49</v>
      </c>
      <c r="B49" s="7"/>
      <c r="C49"/>
      <c r="D49" s="7" t="s">
        <v>50</v>
      </c>
      <c r="E49" s="30"/>
      <c r="F49" s="30"/>
      <c r="G49" s="30"/>
      <c r="H49" s="30"/>
      <c r="I49" s="30"/>
      <c r="J49" s="30"/>
      <c r="K49"/>
    </row>
    <row r="50" spans="1:11" ht="14.25">
      <c r="A50" s="4" t="s">
        <v>51</v>
      </c>
      <c r="C50"/>
      <c r="D50" s="4" t="s">
        <v>52</v>
      </c>
      <c r="E50" s="30"/>
      <c r="F50" s="30"/>
      <c r="G50" s="30"/>
      <c r="H50" s="30"/>
      <c r="I50" s="30"/>
      <c r="J50" s="30"/>
      <c r="K50"/>
    </row>
  </sheetData>
  <sheetProtection selectLockedCells="1" selectUnlockedCells="1"/>
  <mergeCells count="13">
    <mergeCell ref="C20:C22"/>
    <mergeCell ref="D20:D22"/>
    <mergeCell ref="E20:E22"/>
    <mergeCell ref="A29:A31"/>
    <mergeCell ref="B29:B31"/>
    <mergeCell ref="C29:C31"/>
    <mergeCell ref="D29:D31"/>
    <mergeCell ref="E29:E31"/>
    <mergeCell ref="A5:E5"/>
    <mergeCell ref="A6:E6"/>
    <mergeCell ref="A7:E7"/>
    <mergeCell ref="A20:A22"/>
    <mergeCell ref="B20:B22"/>
  </mergeCells>
  <printOptions/>
  <pageMargins left="0.7875" right="0.7875" top="0.7875" bottom="0.7875" header="0.5118055555555555" footer="0.5118055555555555"/>
  <pageSetup horizontalDpi="300" verticalDpi="300" orientation="portrait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F26" sqref="F26"/>
    </sheetView>
  </sheetViews>
  <sheetFormatPr defaultColWidth="11.57421875" defaultRowHeight="12.75"/>
  <cols>
    <col min="1" max="1" width="3.421875" style="0" customWidth="1"/>
    <col min="2" max="2" width="36.00390625" style="30" customWidth="1"/>
    <col min="3" max="3" width="8.7109375" style="30" customWidth="1"/>
    <col min="4" max="4" width="12.140625" style="30" customWidth="1"/>
    <col min="5" max="5" width="9.7109375" style="30" customWidth="1"/>
    <col min="6" max="6" width="10.421875" style="30" customWidth="1"/>
    <col min="7" max="7" width="12.140625" style="30" customWidth="1"/>
    <col min="8" max="8" width="11.140625" style="30" customWidth="1"/>
    <col min="9" max="9" width="9.8515625" style="30" customWidth="1"/>
    <col min="10" max="10" width="9.140625" style="30" customWidth="1"/>
    <col min="11" max="11" width="11.7109375" style="30" customWidth="1"/>
    <col min="12" max="12" width="9.8515625" style="30" customWidth="1"/>
    <col min="13" max="13" width="10.7109375" style="30" customWidth="1"/>
    <col min="14" max="14" width="11.7109375" style="30" customWidth="1"/>
    <col min="15" max="255" width="8.7109375" style="30" customWidth="1"/>
  </cols>
  <sheetData>
    <row r="1" spans="1:14" ht="12.75">
      <c r="A1" s="31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34" t="s">
        <v>2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1" t="s">
        <v>53</v>
      </c>
      <c r="M2" s="33"/>
      <c r="N2" s="33"/>
    </row>
    <row r="3" spans="1:14" ht="12.75">
      <c r="A3" s="34" t="s">
        <v>3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 t="s">
        <v>47</v>
      </c>
      <c r="M3" s="33"/>
      <c r="N3" s="33"/>
    </row>
    <row r="4" spans="1:14" ht="12.75">
      <c r="A4" s="225" t="s">
        <v>54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1:14" ht="12.75">
      <c r="A5" s="226" t="s">
        <v>55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ht="12.75">
      <c r="A6" s="226" t="s">
        <v>56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7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3:14" ht="12.75">
      <c r="C8" s="227" t="s">
        <v>57</v>
      </c>
      <c r="D8" s="227"/>
      <c r="E8" s="227" t="s">
        <v>58</v>
      </c>
      <c r="F8" s="227"/>
      <c r="G8" s="227" t="s">
        <v>59</v>
      </c>
      <c r="H8" s="227"/>
      <c r="I8" s="227" t="s">
        <v>60</v>
      </c>
      <c r="J8" s="227"/>
      <c r="K8" s="227" t="s">
        <v>61</v>
      </c>
      <c r="L8" s="227"/>
      <c r="M8" s="227" t="s">
        <v>62</v>
      </c>
      <c r="N8" s="227"/>
    </row>
    <row r="9" spans="1:14" ht="12.75">
      <c r="A9" s="35" t="s">
        <v>63</v>
      </c>
      <c r="B9" s="36" t="s">
        <v>64</v>
      </c>
      <c r="C9" s="29" t="s">
        <v>65</v>
      </c>
      <c r="D9" s="29" t="s">
        <v>66</v>
      </c>
      <c r="E9" s="29" t="s">
        <v>65</v>
      </c>
      <c r="F9" s="29" t="s">
        <v>66</v>
      </c>
      <c r="G9" s="29" t="s">
        <v>67</v>
      </c>
      <c r="H9" s="29" t="s">
        <v>68</v>
      </c>
      <c r="I9" s="29" t="s">
        <v>67</v>
      </c>
      <c r="J9" s="29" t="s">
        <v>69</v>
      </c>
      <c r="K9" s="29" t="s">
        <v>70</v>
      </c>
      <c r="L9" s="29" t="s">
        <v>68</v>
      </c>
      <c r="M9" s="36" t="s">
        <v>70</v>
      </c>
      <c r="N9" s="36" t="s">
        <v>68</v>
      </c>
    </row>
    <row r="10" spans="1:14" ht="12.75">
      <c r="A10" s="35" t="s">
        <v>71</v>
      </c>
      <c r="C10" s="29"/>
      <c r="D10" s="29" t="s">
        <v>72</v>
      </c>
      <c r="E10" s="29"/>
      <c r="F10" s="29" t="s">
        <v>72</v>
      </c>
      <c r="G10" s="29" t="s">
        <v>73</v>
      </c>
      <c r="H10" s="29" t="s">
        <v>74</v>
      </c>
      <c r="I10" s="29" t="s">
        <v>75</v>
      </c>
      <c r="J10" s="29" t="s">
        <v>75</v>
      </c>
      <c r="K10" s="29" t="s">
        <v>76</v>
      </c>
      <c r="L10" s="29" t="s">
        <v>76</v>
      </c>
      <c r="M10" s="36" t="s">
        <v>76</v>
      </c>
      <c r="N10" s="36" t="s">
        <v>76</v>
      </c>
    </row>
    <row r="11" spans="1:14" ht="12.75">
      <c r="A11" s="28">
        <v>0</v>
      </c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</row>
    <row r="12" spans="2:14" ht="12.75">
      <c r="B12" s="37" t="s">
        <v>77</v>
      </c>
      <c r="C12" s="37"/>
      <c r="D12" s="37"/>
      <c r="E12" s="37"/>
      <c r="F12" s="37"/>
      <c r="G12" s="38">
        <f aca="true" t="shared" si="0" ref="G12:M12">SUM(G13:G19)</f>
        <v>18931</v>
      </c>
      <c r="H12" s="38">
        <f t="shared" si="0"/>
        <v>18931</v>
      </c>
      <c r="I12" s="38">
        <f t="shared" si="0"/>
        <v>36835</v>
      </c>
      <c r="J12" s="38">
        <f t="shared" si="0"/>
        <v>35507</v>
      </c>
      <c r="K12" s="39">
        <f t="shared" si="0"/>
        <v>72511.59999999999</v>
      </c>
      <c r="L12" s="39">
        <f t="shared" si="0"/>
        <v>89830</v>
      </c>
      <c r="M12" s="39">
        <f t="shared" si="0"/>
        <v>60934.12</v>
      </c>
      <c r="N12" s="39">
        <f>SUM(N13:N17)</f>
        <v>75487.4</v>
      </c>
    </row>
    <row r="13" spans="2:14" ht="12.75">
      <c r="B13" s="40" t="s">
        <v>16</v>
      </c>
      <c r="C13" s="41">
        <f>'Lista tarife - Anexa 1 HCL'!B13</f>
        <v>2</v>
      </c>
      <c r="D13" s="41">
        <f>'Lista tarife - Anexa 1 HCL'!B13</f>
        <v>2</v>
      </c>
      <c r="E13" s="41">
        <f>'Lista tarife - Anexa 1 HCL'!D13</f>
        <v>2.5</v>
      </c>
      <c r="F13" s="41">
        <f>'Lista tarife - Anexa 1 HCL'!D13</f>
        <v>2.5</v>
      </c>
      <c r="G13" s="42">
        <v>2162</v>
      </c>
      <c r="H13" s="42">
        <f>G13+G18+G19</f>
        <v>2270</v>
      </c>
      <c r="I13" s="42">
        <f>G13*1</f>
        <v>2162</v>
      </c>
      <c r="J13" s="42">
        <f>H13*1</f>
        <v>2270</v>
      </c>
      <c r="K13" s="41">
        <f aca="true" t="shared" si="1" ref="K13:K19">G13*D13</f>
        <v>4324</v>
      </c>
      <c r="L13" s="41">
        <f>J13*F13</f>
        <v>5675</v>
      </c>
      <c r="M13" s="43">
        <f aca="true" t="shared" si="2" ref="M13:N19">ROUND(K13*100/119,2)</f>
        <v>3633.61</v>
      </c>
      <c r="N13" s="43">
        <f t="shared" si="2"/>
        <v>4768.91</v>
      </c>
    </row>
    <row r="14" spans="2:14" ht="12.75">
      <c r="B14" s="40" t="s">
        <v>17</v>
      </c>
      <c r="C14" s="41">
        <f>D14/2</f>
        <v>2</v>
      </c>
      <c r="D14" s="41">
        <f>'Lista tarife - Anexa 1 HCL'!B14</f>
        <v>4</v>
      </c>
      <c r="E14" s="41">
        <f>F14/2</f>
        <v>2.5</v>
      </c>
      <c r="F14" s="41">
        <f>'Lista tarife - Anexa 1 HCL'!D14</f>
        <v>5</v>
      </c>
      <c r="G14" s="42">
        <v>15966</v>
      </c>
      <c r="H14" s="42">
        <f>G14+G15+G16</f>
        <v>16576</v>
      </c>
      <c r="I14" s="42">
        <f>G14*2</f>
        <v>31932</v>
      </c>
      <c r="J14" s="42">
        <f>H14*2</f>
        <v>33152</v>
      </c>
      <c r="K14" s="41">
        <f t="shared" si="1"/>
        <v>63864</v>
      </c>
      <c r="L14" s="41">
        <f>H14*F14</f>
        <v>82880</v>
      </c>
      <c r="M14" s="43">
        <f t="shared" si="2"/>
        <v>53667.23</v>
      </c>
      <c r="N14" s="43">
        <f t="shared" si="2"/>
        <v>69647.06</v>
      </c>
    </row>
    <row r="15" spans="2:14" ht="12.75">
      <c r="B15" s="40" t="s">
        <v>18</v>
      </c>
      <c r="C15" s="41">
        <f>D15/2</f>
        <v>3</v>
      </c>
      <c r="D15" s="41">
        <f>'Lista tarife - Anexa 1 HCL'!B15</f>
        <v>6</v>
      </c>
      <c r="E15" s="41"/>
      <c r="F15" s="41"/>
      <c r="G15" s="42">
        <v>471</v>
      </c>
      <c r="H15" s="42"/>
      <c r="I15" s="42">
        <f>G15*4</f>
        <v>1884</v>
      </c>
      <c r="J15" s="42"/>
      <c r="K15" s="41">
        <f t="shared" si="1"/>
        <v>2826</v>
      </c>
      <c r="L15" s="41"/>
      <c r="M15" s="43">
        <f t="shared" si="2"/>
        <v>2374.79</v>
      </c>
      <c r="N15" s="43">
        <f t="shared" si="2"/>
        <v>0</v>
      </c>
    </row>
    <row r="16" spans="2:14" ht="12.75">
      <c r="B16" s="40" t="s">
        <v>19</v>
      </c>
      <c r="C16" s="41">
        <f>D16/2</f>
        <v>1.55</v>
      </c>
      <c r="D16" s="41">
        <f>'Lista tarife - Anexa 1 HCL'!B16</f>
        <v>3.1</v>
      </c>
      <c r="E16" s="41"/>
      <c r="F16" s="41"/>
      <c r="G16" s="42">
        <v>139</v>
      </c>
      <c r="H16" s="42"/>
      <c r="I16" s="42">
        <f>G16*4</f>
        <v>556</v>
      </c>
      <c r="J16" s="42"/>
      <c r="K16" s="41">
        <f t="shared" si="1"/>
        <v>430.90000000000003</v>
      </c>
      <c r="L16" s="41"/>
      <c r="M16" s="43">
        <f t="shared" si="2"/>
        <v>362.1</v>
      </c>
      <c r="N16" s="43">
        <f t="shared" si="2"/>
        <v>0</v>
      </c>
    </row>
    <row r="17" spans="2:14" ht="12.75">
      <c r="B17" s="40" t="str">
        <f>'Lista tarife - Anexa 1 HCL'!C17</f>
        <v>Bilet de calatorie in autobuz</v>
      </c>
      <c r="C17" s="41">
        <v>10</v>
      </c>
      <c r="D17" s="41">
        <v>10</v>
      </c>
      <c r="E17" s="41">
        <f>F17/1</f>
        <v>15</v>
      </c>
      <c r="F17" s="41">
        <f>'Lista tarife - Anexa 1 HCL'!D17</f>
        <v>15</v>
      </c>
      <c r="G17" s="42">
        <v>85</v>
      </c>
      <c r="H17" s="42">
        <f>G17</f>
        <v>85</v>
      </c>
      <c r="I17" s="42">
        <f>H17*1</f>
        <v>85</v>
      </c>
      <c r="J17" s="42">
        <f>H17</f>
        <v>85</v>
      </c>
      <c r="K17" s="41">
        <f t="shared" si="1"/>
        <v>850</v>
      </c>
      <c r="L17" s="41">
        <f>H17*F17</f>
        <v>1275</v>
      </c>
      <c r="M17" s="43">
        <f t="shared" si="2"/>
        <v>714.29</v>
      </c>
      <c r="N17" s="43">
        <f t="shared" si="2"/>
        <v>1071.43</v>
      </c>
    </row>
    <row r="18" spans="2:14" ht="12.75">
      <c r="B18" s="40" t="s">
        <v>78</v>
      </c>
      <c r="C18" s="41">
        <f>D18</f>
        <v>1.55</v>
      </c>
      <c r="D18" s="41">
        <f>D16/2</f>
        <v>1.55</v>
      </c>
      <c r="E18" s="41"/>
      <c r="F18" s="41"/>
      <c r="G18" s="42">
        <v>74</v>
      </c>
      <c r="H18" s="42"/>
      <c r="I18" s="42">
        <f>G18*2</f>
        <v>148</v>
      </c>
      <c r="J18" s="42"/>
      <c r="K18" s="41">
        <f t="shared" si="1"/>
        <v>114.7</v>
      </c>
      <c r="L18" s="41"/>
      <c r="M18" s="43">
        <f t="shared" si="2"/>
        <v>96.39</v>
      </c>
      <c r="N18" s="43">
        <f t="shared" si="2"/>
        <v>0</v>
      </c>
    </row>
    <row r="19" spans="2:14" ht="12.75">
      <c r="B19" s="40" t="s">
        <v>79</v>
      </c>
      <c r="C19" s="41">
        <f>D19</f>
        <v>3</v>
      </c>
      <c r="D19" s="41">
        <f>D15/2</f>
        <v>3</v>
      </c>
      <c r="E19" s="41"/>
      <c r="F19" s="41"/>
      <c r="G19" s="42">
        <v>34</v>
      </c>
      <c r="H19" s="42"/>
      <c r="I19" s="42">
        <f>G19*2</f>
        <v>68</v>
      </c>
      <c r="J19" s="42"/>
      <c r="K19" s="41">
        <f t="shared" si="1"/>
        <v>102</v>
      </c>
      <c r="L19" s="41"/>
      <c r="M19" s="43">
        <f t="shared" si="2"/>
        <v>85.71</v>
      </c>
      <c r="N19" s="43">
        <f t="shared" si="2"/>
        <v>0</v>
      </c>
    </row>
    <row r="20" spans="3:14" ht="7.5" customHeight="1">
      <c r="C20" s="44"/>
      <c r="D20" s="44"/>
      <c r="E20" s="44"/>
      <c r="F20" s="44"/>
      <c r="G20" s="45"/>
      <c r="H20" s="45"/>
      <c r="I20" s="45"/>
      <c r="J20" s="45"/>
      <c r="K20" s="44"/>
      <c r="L20" s="44"/>
      <c r="M20" s="46"/>
      <c r="N20" s="46"/>
    </row>
    <row r="21" spans="2:14" ht="12.75">
      <c r="B21" s="37" t="s">
        <v>80</v>
      </c>
      <c r="C21" s="39"/>
      <c r="D21" s="39"/>
      <c r="E21" s="39"/>
      <c r="F21" s="39"/>
      <c r="G21" s="38">
        <f aca="true" t="shared" si="3" ref="G21:N21">G22+G32</f>
        <v>1636</v>
      </c>
      <c r="H21" s="38">
        <f t="shared" si="3"/>
        <v>1636</v>
      </c>
      <c r="I21" s="38">
        <f t="shared" si="3"/>
        <v>138228</v>
      </c>
      <c r="J21" s="38">
        <f t="shared" si="3"/>
        <v>107883</v>
      </c>
      <c r="K21" s="39">
        <f t="shared" si="3"/>
        <v>74981</v>
      </c>
      <c r="L21" s="39">
        <f t="shared" si="3"/>
        <v>78501</v>
      </c>
      <c r="M21" s="39">
        <f t="shared" si="3"/>
        <v>63009.25</v>
      </c>
      <c r="N21" s="39">
        <f t="shared" si="3"/>
        <v>65967.23</v>
      </c>
    </row>
    <row r="22" spans="2:14" ht="12.75">
      <c r="B22" s="37" t="s">
        <v>81</v>
      </c>
      <c r="C22" s="39"/>
      <c r="D22" s="39"/>
      <c r="E22" s="39"/>
      <c r="F22" s="39"/>
      <c r="G22" s="38">
        <f aca="true" t="shared" si="4" ref="G22:N22">SUM(G23:G30)</f>
        <v>1146</v>
      </c>
      <c r="H22" s="38">
        <f t="shared" si="4"/>
        <v>1146</v>
      </c>
      <c r="I22" s="38">
        <f t="shared" si="4"/>
        <v>104986</v>
      </c>
      <c r="J22" s="38">
        <f t="shared" si="4"/>
        <v>80877</v>
      </c>
      <c r="K22" s="39">
        <f t="shared" si="4"/>
        <v>57996</v>
      </c>
      <c r="L22" s="39">
        <f t="shared" si="4"/>
        <v>60681</v>
      </c>
      <c r="M22" s="39">
        <f t="shared" si="4"/>
        <v>48736.14</v>
      </c>
      <c r="N22" s="39">
        <f t="shared" si="4"/>
        <v>50992.439999999995</v>
      </c>
    </row>
    <row r="23" spans="2:14" ht="25.5">
      <c r="B23" s="47" t="str">
        <f>'Lista tarife - Anexa 1 HCL'!C20</f>
        <v>Toate liniile mediu urban -NOMINAL-ZILE LUCRATOARE</v>
      </c>
      <c r="C23" s="48">
        <f>K23/I23</f>
        <v>0.49612403100775193</v>
      </c>
      <c r="D23" s="48">
        <f>'Lista tarife - Anexa 1 HCL'!B20</f>
        <v>64</v>
      </c>
      <c r="E23" s="48">
        <f>L23/J23</f>
        <v>0.8023255813953488</v>
      </c>
      <c r="F23" s="48">
        <f>'Lista tarife - Anexa 1 HCL'!D20</f>
        <v>69</v>
      </c>
      <c r="G23" s="49">
        <v>63</v>
      </c>
      <c r="H23" s="49">
        <f>G23+(G26+G27)/2</f>
        <v>83</v>
      </c>
      <c r="I23" s="49">
        <f>G23*21.5*2*3</f>
        <v>8127</v>
      </c>
      <c r="J23" s="49">
        <f>H23*21.5*2*2</f>
        <v>7138</v>
      </c>
      <c r="K23" s="50">
        <f aca="true" t="shared" si="5" ref="K23:K30">G23*D23</f>
        <v>4032</v>
      </c>
      <c r="L23" s="48">
        <f aca="true" t="shared" si="6" ref="L23:L30">F23*H23</f>
        <v>5727</v>
      </c>
      <c r="M23" s="51">
        <f aca="true" t="shared" si="7" ref="M23:N30">ROUND(K23*100/119,2)</f>
        <v>3388.24</v>
      </c>
      <c r="N23" s="51">
        <f t="shared" si="7"/>
        <v>4812.61</v>
      </c>
    </row>
    <row r="24" spans="2:14" ht="25.5">
      <c r="B24" s="47" t="str">
        <f>'Lista tarife - Anexa 1 HCL'!C23</f>
        <v>Toate liniile mediu urban -NOMINAL-30 ZILE</v>
      </c>
      <c r="C24" s="48">
        <f>K24/I24</f>
        <v>0.4111111111111111</v>
      </c>
      <c r="D24" s="48">
        <f>'Lista tarife - Anexa 1 HCL'!B23</f>
        <v>74</v>
      </c>
      <c r="E24" s="48">
        <f>L24/J24</f>
        <v>0.6583333333333333</v>
      </c>
      <c r="F24" s="48">
        <f>'Lista tarife - Anexa 1 HCL'!D23</f>
        <v>79</v>
      </c>
      <c r="G24" s="49">
        <v>368</v>
      </c>
      <c r="H24" s="49">
        <f>G24+(G26+G27)/2</f>
        <v>388</v>
      </c>
      <c r="I24" s="49">
        <f>G24*30*2*3</f>
        <v>66240</v>
      </c>
      <c r="J24" s="49">
        <f>H24*30*2*2</f>
        <v>46560</v>
      </c>
      <c r="K24" s="50">
        <f t="shared" si="5"/>
        <v>27232</v>
      </c>
      <c r="L24" s="48">
        <f t="shared" si="6"/>
        <v>30652</v>
      </c>
      <c r="M24" s="51">
        <f t="shared" si="7"/>
        <v>22884.03</v>
      </c>
      <c r="N24" s="51">
        <f t="shared" si="7"/>
        <v>25757.98</v>
      </c>
    </row>
    <row r="25" spans="2:14" ht="25.5">
      <c r="B25" s="47" t="str">
        <f>'Lista tarife - Anexa 1 HCL'!C24</f>
        <v>Toate liniile mediu urban – TRANSMISIBIL</v>
      </c>
      <c r="C25" s="48">
        <f>D25/180</f>
        <v>0.6444444444444445</v>
      </c>
      <c r="D25" s="48">
        <f>'Lista tarife - Anexa 1 HCL'!B24</f>
        <v>116</v>
      </c>
      <c r="E25" s="48">
        <f>F25/180</f>
        <v>0.55</v>
      </c>
      <c r="F25" s="48">
        <v>99</v>
      </c>
      <c r="G25" s="49">
        <v>0</v>
      </c>
      <c r="H25" s="49">
        <f>G25</f>
        <v>0</v>
      </c>
      <c r="I25" s="49">
        <f>G25*30*6</f>
        <v>0</v>
      </c>
      <c r="J25" s="49">
        <f>H25*30*6</f>
        <v>0</v>
      </c>
      <c r="K25" s="50">
        <f t="shared" si="5"/>
        <v>0</v>
      </c>
      <c r="L25" s="48">
        <f t="shared" si="6"/>
        <v>0</v>
      </c>
      <c r="M25" s="51">
        <f t="shared" si="7"/>
        <v>0</v>
      </c>
      <c r="N25" s="51">
        <f t="shared" si="7"/>
        <v>0</v>
      </c>
    </row>
    <row r="26" spans="2:14" ht="12.75">
      <c r="B26" s="40" t="s">
        <v>26</v>
      </c>
      <c r="C26" s="48">
        <f>K26/I26</f>
        <v>0.872093023255814</v>
      </c>
      <c r="D26" s="41">
        <f>'Lista tarife - Anexa 1 HCL'!B25</f>
        <v>75</v>
      </c>
      <c r="E26" s="41"/>
      <c r="F26" s="41"/>
      <c r="G26" s="42">
        <v>28</v>
      </c>
      <c r="H26" s="49"/>
      <c r="I26" s="42">
        <f>G26*4*21.5</f>
        <v>2408</v>
      </c>
      <c r="J26" s="42"/>
      <c r="K26" s="50">
        <f t="shared" si="5"/>
        <v>2100</v>
      </c>
      <c r="L26" s="41">
        <f t="shared" si="6"/>
        <v>0</v>
      </c>
      <c r="M26" s="51">
        <f t="shared" si="7"/>
        <v>1764.71</v>
      </c>
      <c r="N26" s="51">
        <f t="shared" si="7"/>
        <v>0</v>
      </c>
    </row>
    <row r="27" spans="2:14" ht="12.75">
      <c r="B27" s="40" t="s">
        <v>27</v>
      </c>
      <c r="C27" s="48">
        <f>K27/I27</f>
        <v>0.7325581395348837</v>
      </c>
      <c r="D27" s="41">
        <f>'Lista tarife - Anexa 1 HCL'!B26</f>
        <v>63</v>
      </c>
      <c r="E27" s="41"/>
      <c r="F27" s="41"/>
      <c r="G27" s="42">
        <v>12</v>
      </c>
      <c r="H27" s="49"/>
      <c r="I27" s="42">
        <f>G27*4*21.5</f>
        <v>1032</v>
      </c>
      <c r="J27" s="42"/>
      <c r="K27" s="50">
        <f t="shared" si="5"/>
        <v>756</v>
      </c>
      <c r="L27" s="41">
        <f t="shared" si="6"/>
        <v>0</v>
      </c>
      <c r="M27" s="51">
        <f t="shared" si="7"/>
        <v>635.29</v>
      </c>
      <c r="N27" s="51">
        <f t="shared" si="7"/>
        <v>0</v>
      </c>
    </row>
    <row r="28" spans="2:14" ht="12.75">
      <c r="B28" s="40" t="s">
        <v>39</v>
      </c>
      <c r="C28" s="48">
        <f>K28/I28</f>
        <v>0.9302325581395349</v>
      </c>
      <c r="D28" s="41">
        <f>'Lista tarife - Anexa 1 HCL'!B38</f>
        <v>40</v>
      </c>
      <c r="E28" s="41">
        <f>L28/J28</f>
        <v>0.9302325581395349</v>
      </c>
      <c r="F28" s="41">
        <f>'Lista tarife - Anexa 1 HCL'!D38</f>
        <v>40</v>
      </c>
      <c r="G28" s="42">
        <v>533</v>
      </c>
      <c r="H28" s="49">
        <f>G28</f>
        <v>533</v>
      </c>
      <c r="I28" s="42">
        <f>G28*21.5*2</f>
        <v>22919</v>
      </c>
      <c r="J28" s="42">
        <f>H28*21.5*2</f>
        <v>22919</v>
      </c>
      <c r="K28" s="50">
        <f t="shared" si="5"/>
        <v>21320</v>
      </c>
      <c r="L28" s="41">
        <f t="shared" si="6"/>
        <v>21320</v>
      </c>
      <c r="M28" s="51">
        <f t="shared" si="7"/>
        <v>17915.97</v>
      </c>
      <c r="N28" s="51">
        <f t="shared" si="7"/>
        <v>17915.97</v>
      </c>
    </row>
    <row r="29" spans="2:14" ht="12.75">
      <c r="B29" s="40" t="s">
        <v>42</v>
      </c>
      <c r="C29" s="48">
        <f>D29/6</f>
        <v>1.3333333333333333</v>
      </c>
      <c r="D29" s="41">
        <f>'Lista tarife - Anexa 1 HCL'!B42</f>
        <v>8</v>
      </c>
      <c r="E29" s="41">
        <f>F29/6</f>
        <v>1.6666666666666667</v>
      </c>
      <c r="F29" s="41">
        <f>'Lista tarife - Anexa 1 HCL'!D42</f>
        <v>10</v>
      </c>
      <c r="G29" s="42">
        <v>0</v>
      </c>
      <c r="H29" s="49">
        <f>G29</f>
        <v>0</v>
      </c>
      <c r="I29" s="42">
        <f>G29*6</f>
        <v>0</v>
      </c>
      <c r="J29" s="42">
        <f>H29*6</f>
        <v>0</v>
      </c>
      <c r="K29" s="50">
        <f t="shared" si="5"/>
        <v>0</v>
      </c>
      <c r="L29" s="41">
        <f t="shared" si="6"/>
        <v>0</v>
      </c>
      <c r="M29" s="51">
        <f t="shared" si="7"/>
        <v>0</v>
      </c>
      <c r="N29" s="51">
        <f t="shared" si="7"/>
        <v>0</v>
      </c>
    </row>
    <row r="30" spans="2:14" ht="12.75">
      <c r="B30" s="40" t="s">
        <v>43</v>
      </c>
      <c r="C30" s="48">
        <f>K30/I30</f>
        <v>0.6</v>
      </c>
      <c r="D30" s="41">
        <f>'Lista tarife - Anexa 1 HCL'!B43</f>
        <v>18</v>
      </c>
      <c r="E30" s="41">
        <f>L30/J30</f>
        <v>0.7</v>
      </c>
      <c r="F30" s="41">
        <f>'Lista tarife - Anexa 1 HCL'!D43</f>
        <v>21</v>
      </c>
      <c r="G30" s="42">
        <v>142</v>
      </c>
      <c r="H30" s="49">
        <f>G30</f>
        <v>142</v>
      </c>
      <c r="I30" s="42">
        <f>G30*5*6</f>
        <v>4260</v>
      </c>
      <c r="J30" s="42">
        <f>H30*5*6</f>
        <v>4260</v>
      </c>
      <c r="K30" s="50">
        <f t="shared" si="5"/>
        <v>2556</v>
      </c>
      <c r="L30" s="41">
        <f t="shared" si="6"/>
        <v>2982</v>
      </c>
      <c r="M30" s="51">
        <f t="shared" si="7"/>
        <v>2147.9</v>
      </c>
      <c r="N30" s="51">
        <f t="shared" si="7"/>
        <v>2505.88</v>
      </c>
    </row>
    <row r="31" spans="3:14" ht="7.5" customHeight="1">
      <c r="C31" s="44"/>
      <c r="D31" s="44"/>
      <c r="E31" s="44"/>
      <c r="F31" s="44"/>
      <c r="G31" s="45"/>
      <c r="H31" s="45"/>
      <c r="I31" s="45"/>
      <c r="J31" s="45"/>
      <c r="K31" s="52"/>
      <c r="L31" s="44"/>
      <c r="M31" s="46"/>
      <c r="N31" s="46"/>
    </row>
    <row r="32" spans="2:14" ht="12.75">
      <c r="B32" s="37" t="s">
        <v>82</v>
      </c>
      <c r="C32" s="39"/>
      <c r="D32" s="39"/>
      <c r="E32" s="39"/>
      <c r="F32" s="39"/>
      <c r="G32" s="38">
        <f aca="true" t="shared" si="8" ref="G32:N32">SUM(G33:G38)</f>
        <v>490</v>
      </c>
      <c r="H32" s="38">
        <f t="shared" si="8"/>
        <v>490</v>
      </c>
      <c r="I32" s="38">
        <f t="shared" si="8"/>
        <v>33242</v>
      </c>
      <c r="J32" s="38">
        <f t="shared" si="8"/>
        <v>27006</v>
      </c>
      <c r="K32" s="39">
        <f t="shared" si="8"/>
        <v>16985</v>
      </c>
      <c r="L32" s="39">
        <f t="shared" si="8"/>
        <v>17820</v>
      </c>
      <c r="M32" s="39">
        <f t="shared" si="8"/>
        <v>14273.11</v>
      </c>
      <c r="N32" s="39">
        <f t="shared" si="8"/>
        <v>14974.79</v>
      </c>
    </row>
    <row r="33" spans="2:14" ht="25.5">
      <c r="B33" s="47" t="str">
        <f>'Lista tarife - Anexa 1 HCL'!C29</f>
        <v>Toate liniile mediu urban -NOMINAL – 15 ZILE – numai ZILE LUCRATOARE</v>
      </c>
      <c r="C33" s="48">
        <f>K33/I33</f>
        <v>0.5333333333333333</v>
      </c>
      <c r="D33" s="50">
        <f>'Lista tarife - Anexa 1 HCL'!B29</f>
        <v>32</v>
      </c>
      <c r="E33" s="48">
        <f>L33/J33</f>
        <v>0.5833333333333334</v>
      </c>
      <c r="F33" s="50">
        <f>'Lista tarife - Anexa 1 HCL'!D29</f>
        <v>35</v>
      </c>
      <c r="G33" s="53">
        <v>75</v>
      </c>
      <c r="H33" s="53">
        <f>G33+G36+G37</f>
        <v>167</v>
      </c>
      <c r="I33" s="49">
        <f>G33*60</f>
        <v>4500</v>
      </c>
      <c r="J33" s="49">
        <f>H33*60</f>
        <v>10020</v>
      </c>
      <c r="K33" s="50">
        <f aca="true" t="shared" si="9" ref="K33:K38">D33*G33</f>
        <v>2400</v>
      </c>
      <c r="L33" s="50">
        <f aca="true" t="shared" si="10" ref="L33:L38">F33*H33</f>
        <v>5845</v>
      </c>
      <c r="M33" s="51">
        <f aca="true" t="shared" si="11" ref="M33:N38">ROUND(K33*100/119,2)</f>
        <v>2016.81</v>
      </c>
      <c r="N33" s="51">
        <f t="shared" si="11"/>
        <v>4911.76</v>
      </c>
    </row>
    <row r="34" spans="2:14" ht="25.5">
      <c r="B34" s="47" t="str">
        <f>'Lista tarife - Anexa 1 HCL'!C32</f>
        <v>Toate liniile mediu urban -NOMINAL – 15 ZILE</v>
      </c>
      <c r="C34" s="48">
        <f>K34/I34</f>
        <v>0.4111111111111111</v>
      </c>
      <c r="D34" s="50">
        <f>'Lista tarife - Anexa 1 HCL'!B32</f>
        <v>37</v>
      </c>
      <c r="E34" s="48">
        <f>L34/J34</f>
        <v>0.6666666666666666</v>
      </c>
      <c r="F34" s="50">
        <f>'Lista tarife - Anexa 1 HCL'!D32</f>
        <v>40</v>
      </c>
      <c r="G34" s="53">
        <v>260</v>
      </c>
      <c r="H34" s="53">
        <f>G34</f>
        <v>260</v>
      </c>
      <c r="I34" s="49">
        <f>G34*30*3</f>
        <v>23400</v>
      </c>
      <c r="J34" s="49">
        <f>H34*60</f>
        <v>15600</v>
      </c>
      <c r="K34" s="50">
        <f t="shared" si="9"/>
        <v>9620</v>
      </c>
      <c r="L34" s="50">
        <f t="shared" si="10"/>
        <v>10400</v>
      </c>
      <c r="M34" s="51">
        <f t="shared" si="11"/>
        <v>8084.03</v>
      </c>
      <c r="N34" s="51">
        <f t="shared" si="11"/>
        <v>8739.5</v>
      </c>
    </row>
    <row r="35" spans="2:14" ht="25.5">
      <c r="B35" s="47" t="str">
        <f>'Lista tarife - Anexa 1 HCL'!C33</f>
        <v>Toate liniile mediu urban – 15 ZILE – TRANSMISIBIL</v>
      </c>
      <c r="C35" s="48">
        <f>D35/90</f>
        <v>0.6444444444444445</v>
      </c>
      <c r="D35" s="50">
        <f>'Lista tarife - Anexa 1 HCL'!B33</f>
        <v>58</v>
      </c>
      <c r="E35" s="48">
        <f>F35/90</f>
        <v>0.5555555555555556</v>
      </c>
      <c r="F35" s="50">
        <f>'Lista tarife - Anexa 1 HCL'!D33</f>
        <v>50</v>
      </c>
      <c r="G35" s="53">
        <v>0</v>
      </c>
      <c r="H35" s="53">
        <f>G35</f>
        <v>0</v>
      </c>
      <c r="I35" s="49">
        <f>G35*30*6</f>
        <v>0</v>
      </c>
      <c r="J35" s="53">
        <f>H35*15*6</f>
        <v>0</v>
      </c>
      <c r="K35" s="50">
        <f t="shared" si="9"/>
        <v>0</v>
      </c>
      <c r="L35" s="50">
        <f t="shared" si="10"/>
        <v>0</v>
      </c>
      <c r="M35" s="51">
        <f t="shared" si="11"/>
        <v>0</v>
      </c>
      <c r="N35" s="51">
        <f t="shared" si="11"/>
        <v>0</v>
      </c>
    </row>
    <row r="36" spans="2:14" ht="12.75">
      <c r="B36" s="40" t="s">
        <v>83</v>
      </c>
      <c r="C36" s="48">
        <f>K36/I36</f>
        <v>0.872093023255814</v>
      </c>
      <c r="D36" s="41">
        <f>'Lista tarife - Anexa 1 HCL'!B34</f>
        <v>37.5</v>
      </c>
      <c r="E36" s="41"/>
      <c r="F36" s="41"/>
      <c r="G36" s="42">
        <v>82</v>
      </c>
      <c r="H36" s="53"/>
      <c r="I36" s="42">
        <f>G36*2*21.5</f>
        <v>3526</v>
      </c>
      <c r="J36" s="42"/>
      <c r="K36" s="50">
        <f t="shared" si="9"/>
        <v>3075</v>
      </c>
      <c r="L36" s="41">
        <f t="shared" si="10"/>
        <v>0</v>
      </c>
      <c r="M36" s="51">
        <f t="shared" si="11"/>
        <v>2584.03</v>
      </c>
      <c r="N36" s="51">
        <f t="shared" si="11"/>
        <v>0</v>
      </c>
    </row>
    <row r="37" spans="2:14" ht="12.75">
      <c r="B37" s="40" t="s">
        <v>84</v>
      </c>
      <c r="C37" s="48">
        <f>K37/I37</f>
        <v>0.7325581395348837</v>
      </c>
      <c r="D37" s="41">
        <f>'Lista tarife - Anexa 1 HCL'!B35</f>
        <v>31.5</v>
      </c>
      <c r="E37" s="41"/>
      <c r="F37" s="41"/>
      <c r="G37" s="42">
        <v>10</v>
      </c>
      <c r="H37" s="53"/>
      <c r="I37" s="42">
        <f>G37*2*21.5</f>
        <v>430</v>
      </c>
      <c r="J37" s="42"/>
      <c r="K37" s="50">
        <f t="shared" si="9"/>
        <v>315</v>
      </c>
      <c r="L37" s="41">
        <f t="shared" si="10"/>
        <v>0</v>
      </c>
      <c r="M37" s="51">
        <f t="shared" si="11"/>
        <v>264.71</v>
      </c>
      <c r="N37" s="51">
        <f t="shared" si="11"/>
        <v>0</v>
      </c>
    </row>
    <row r="38" spans="2:14" ht="12.75">
      <c r="B38" s="40" t="s">
        <v>85</v>
      </c>
      <c r="C38" s="41"/>
      <c r="D38" s="41">
        <f>'Lista tarife - Anexa 1 HCL'!B39</f>
        <v>25</v>
      </c>
      <c r="E38" s="41"/>
      <c r="F38" s="41">
        <f>'Lista tarife - Anexa 1 HCL'!D39</f>
        <v>25</v>
      </c>
      <c r="G38" s="42">
        <v>63</v>
      </c>
      <c r="H38" s="53">
        <f>G38</f>
        <v>63</v>
      </c>
      <c r="I38" s="42">
        <f>G38*22</f>
        <v>1386</v>
      </c>
      <c r="J38" s="42">
        <f>H38*11*2</f>
        <v>1386</v>
      </c>
      <c r="K38" s="50">
        <f t="shared" si="9"/>
        <v>1575</v>
      </c>
      <c r="L38" s="41">
        <f t="shared" si="10"/>
        <v>1575</v>
      </c>
      <c r="M38" s="51">
        <f t="shared" si="11"/>
        <v>1323.53</v>
      </c>
      <c r="N38" s="51">
        <f t="shared" si="11"/>
        <v>1323.53</v>
      </c>
    </row>
    <row r="39" spans="3:14" ht="7.5" customHeight="1">
      <c r="C39" s="44"/>
      <c r="D39" s="44"/>
      <c r="E39" s="44"/>
      <c r="F39" s="44"/>
      <c r="G39" s="45"/>
      <c r="H39" s="45"/>
      <c r="I39" s="54"/>
      <c r="J39" s="45"/>
      <c r="K39" s="44"/>
      <c r="L39" s="44"/>
      <c r="M39" s="46"/>
      <c r="N39" s="46"/>
    </row>
    <row r="40" spans="1:14" ht="12.75">
      <c r="A40" s="55"/>
      <c r="B40" s="56" t="s">
        <v>86</v>
      </c>
      <c r="C40" s="43"/>
      <c r="D40" s="43"/>
      <c r="E40" s="43"/>
      <c r="F40" s="43"/>
      <c r="G40" s="57">
        <f aca="true" t="shared" si="12" ref="G40:N40">G12+G21</f>
        <v>20567</v>
      </c>
      <c r="H40" s="57">
        <f t="shared" si="12"/>
        <v>20567</v>
      </c>
      <c r="I40" s="57">
        <f t="shared" si="12"/>
        <v>175063</v>
      </c>
      <c r="J40" s="57">
        <f t="shared" si="12"/>
        <v>143390</v>
      </c>
      <c r="K40" s="43">
        <f t="shared" si="12"/>
        <v>147492.59999999998</v>
      </c>
      <c r="L40" s="43">
        <f t="shared" si="12"/>
        <v>168331</v>
      </c>
      <c r="M40" s="43">
        <f t="shared" si="12"/>
        <v>123943.37</v>
      </c>
      <c r="N40" s="43">
        <f t="shared" si="12"/>
        <v>141454.63</v>
      </c>
    </row>
    <row r="41" spans="3:14" ht="7.5" customHeight="1">
      <c r="C41" s="44"/>
      <c r="D41" s="44"/>
      <c r="E41" s="44"/>
      <c r="F41" s="44"/>
      <c r="G41" s="45"/>
      <c r="H41" s="45"/>
      <c r="I41" s="45"/>
      <c r="J41" s="45"/>
      <c r="K41" s="44"/>
      <c r="L41" s="44"/>
      <c r="M41" s="46"/>
      <c r="N41" s="46"/>
    </row>
    <row r="42" spans="2:16" ht="12.75">
      <c r="B42" s="37" t="s">
        <v>87</v>
      </c>
      <c r="C42" s="39"/>
      <c r="D42" s="39">
        <v>100</v>
      </c>
      <c r="E42" s="39"/>
      <c r="F42" s="39">
        <v>100</v>
      </c>
      <c r="G42" s="38">
        <v>0</v>
      </c>
      <c r="H42" s="38">
        <v>0</v>
      </c>
      <c r="I42" s="38">
        <v>0</v>
      </c>
      <c r="J42" s="38">
        <v>0</v>
      </c>
      <c r="K42" s="39">
        <f>G42*D42</f>
        <v>0</v>
      </c>
      <c r="L42" s="39">
        <v>0</v>
      </c>
      <c r="M42" s="39">
        <f>ROUND(K42*100/119,2)</f>
        <v>0</v>
      </c>
      <c r="N42" s="39">
        <f>ROUND(L42*100/119,2)</f>
        <v>0</v>
      </c>
      <c r="O42" s="44"/>
      <c r="P42" s="44"/>
    </row>
    <row r="43" spans="2:16" ht="12.75">
      <c r="B43" s="37" t="s">
        <v>88</v>
      </c>
      <c r="C43" s="39"/>
      <c r="D43" s="39"/>
      <c r="E43" s="39"/>
      <c r="F43" s="39"/>
      <c r="G43" s="38"/>
      <c r="H43" s="38"/>
      <c r="I43" s="38"/>
      <c r="J43" s="38"/>
      <c r="K43" s="39">
        <v>600</v>
      </c>
      <c r="L43" s="39">
        <f>N43*119/100</f>
        <v>952</v>
      </c>
      <c r="M43" s="39">
        <f>ROUND(K43*100/119,2)</f>
        <v>504.2</v>
      </c>
      <c r="N43" s="39">
        <v>800</v>
      </c>
      <c r="O43" s="44"/>
      <c r="P43" s="44"/>
    </row>
    <row r="44" spans="2:16" ht="12.75">
      <c r="B44" s="58" t="s">
        <v>89</v>
      </c>
      <c r="C44" s="46"/>
      <c r="D44" s="46"/>
      <c r="E44" s="46"/>
      <c r="F44" s="46"/>
      <c r="G44" s="59"/>
      <c r="H44" s="59"/>
      <c r="I44" s="59"/>
      <c r="J44" s="59"/>
      <c r="K44" s="46"/>
      <c r="L44" s="46"/>
      <c r="M44" s="46">
        <v>4400.2600000000275</v>
      </c>
      <c r="N44" s="46">
        <v>4600</v>
      </c>
      <c r="O44" s="44"/>
      <c r="P44" s="44"/>
    </row>
    <row r="45" spans="3:16" ht="7.5" customHeight="1">
      <c r="C45" s="44"/>
      <c r="D45" s="44"/>
      <c r="E45" s="44"/>
      <c r="F45" s="44"/>
      <c r="G45" s="45"/>
      <c r="H45" s="45"/>
      <c r="I45" s="45"/>
      <c r="J45" s="45"/>
      <c r="K45" s="44"/>
      <c r="L45" s="44"/>
      <c r="M45" s="46"/>
      <c r="N45" s="46"/>
      <c r="O45" s="44"/>
      <c r="P45" s="44"/>
    </row>
    <row r="46" spans="2:14" ht="12.75">
      <c r="B46" s="58" t="s">
        <v>90</v>
      </c>
      <c r="C46" s="46"/>
      <c r="D46" s="46"/>
      <c r="E46" s="46"/>
      <c r="F46" s="46"/>
      <c r="G46" s="59"/>
      <c r="H46" s="59"/>
      <c r="I46" s="59"/>
      <c r="J46" s="59"/>
      <c r="K46" s="46">
        <f>K12+K21+K43+K42</f>
        <v>148092.59999999998</v>
      </c>
      <c r="L46" s="46">
        <f>L12+L21+L43+L42</f>
        <v>169283</v>
      </c>
      <c r="M46" s="46">
        <f>M40+M43+M42+M44</f>
        <v>128847.83000000002</v>
      </c>
      <c r="N46" s="46">
        <f>N40+N43+N42+N44</f>
        <v>146854.63</v>
      </c>
    </row>
    <row r="47" spans="2:14" ht="7.5" customHeight="1">
      <c r="B47" s="44"/>
      <c r="C47" s="44"/>
      <c r="D47" s="44"/>
      <c r="E47" s="44"/>
      <c r="F47" s="44"/>
      <c r="G47" s="45"/>
      <c r="H47" s="45"/>
      <c r="I47" s="45"/>
      <c r="J47" s="45"/>
      <c r="K47" s="44"/>
      <c r="L47" s="44"/>
      <c r="M47" s="46"/>
      <c r="N47" s="46"/>
    </row>
    <row r="48" spans="2:14" ht="12.75">
      <c r="B48" s="60" t="s">
        <v>91</v>
      </c>
      <c r="C48" s="39"/>
      <c r="D48" s="39"/>
      <c r="E48" s="39"/>
      <c r="F48" s="39"/>
      <c r="G48" s="38"/>
      <c r="H48" s="38"/>
      <c r="I48" s="38"/>
      <c r="J48" s="38"/>
      <c r="K48" s="39">
        <f>K52+K53</f>
        <v>465647</v>
      </c>
      <c r="L48" s="39">
        <f>L52+L53</f>
        <v>466687</v>
      </c>
      <c r="M48" s="39">
        <f>M52+M53</f>
        <v>443078.19</v>
      </c>
      <c r="N48" s="39">
        <f>N52+N53</f>
        <v>443952.14</v>
      </c>
    </row>
    <row r="49" spans="2:14" ht="12.75">
      <c r="B49" s="61" t="s">
        <v>92</v>
      </c>
      <c r="C49" s="44"/>
      <c r="D49" s="44">
        <v>74</v>
      </c>
      <c r="E49" s="44"/>
      <c r="F49" s="44">
        <v>79</v>
      </c>
      <c r="G49" s="42">
        <v>34</v>
      </c>
      <c r="H49" s="42">
        <v>34</v>
      </c>
      <c r="I49" s="42">
        <f>G49*180</f>
        <v>6120</v>
      </c>
      <c r="J49" s="42">
        <f>H49*180</f>
        <v>6120</v>
      </c>
      <c r="K49" s="50">
        <f>D49*G49</f>
        <v>2516</v>
      </c>
      <c r="L49" s="50">
        <f>F49*H49</f>
        <v>2686</v>
      </c>
      <c r="M49" s="62">
        <f>K49*100/119</f>
        <v>2114.285714285714</v>
      </c>
      <c r="N49" s="62">
        <f>ROUND(L49*100/119,2)</f>
        <v>2257.14</v>
      </c>
    </row>
    <row r="50" spans="2:14" ht="12.75">
      <c r="B50" s="61" t="s">
        <v>93</v>
      </c>
      <c r="C50" s="44"/>
      <c r="D50" s="44">
        <v>40</v>
      </c>
      <c r="E50" s="44"/>
      <c r="F50" s="44">
        <v>40</v>
      </c>
      <c r="G50" s="42">
        <v>3149</v>
      </c>
      <c r="H50" s="42">
        <v>3149</v>
      </c>
      <c r="I50" s="42">
        <f>G50*43</f>
        <v>135407</v>
      </c>
      <c r="J50" s="42">
        <f>H50*43</f>
        <v>135407</v>
      </c>
      <c r="K50" s="50">
        <f>D50*G50</f>
        <v>125960</v>
      </c>
      <c r="L50" s="50">
        <f>F50*H50</f>
        <v>125960</v>
      </c>
      <c r="M50" s="62">
        <f>K50*100/119</f>
        <v>105848.73949579832</v>
      </c>
      <c r="N50" s="62">
        <f>ROUND(L50*100/119,2)</f>
        <v>105848.74</v>
      </c>
    </row>
    <row r="51" spans="2:14" ht="12.75">
      <c r="B51" s="61" t="s">
        <v>94</v>
      </c>
      <c r="C51" s="44"/>
      <c r="D51" s="44">
        <v>74</v>
      </c>
      <c r="E51" s="44"/>
      <c r="F51" s="44">
        <v>79</v>
      </c>
      <c r="G51" s="42">
        <v>174</v>
      </c>
      <c r="H51" s="42">
        <v>174</v>
      </c>
      <c r="I51" s="42">
        <f>G51*180</f>
        <v>31320</v>
      </c>
      <c r="J51" s="42">
        <f>H51*180</f>
        <v>31320</v>
      </c>
      <c r="K51" s="50">
        <f>D51*G51</f>
        <v>12876</v>
      </c>
      <c r="L51" s="50">
        <f>F51*H51</f>
        <v>13746</v>
      </c>
      <c r="M51" s="62">
        <f>K51*100/119</f>
        <v>10820.16806722689</v>
      </c>
      <c r="N51" s="62">
        <f>ROUND(L51*100/119,2)</f>
        <v>11551.26</v>
      </c>
    </row>
    <row r="52" spans="2:14" ht="12.75">
      <c r="B52" s="60" t="s">
        <v>95</v>
      </c>
      <c r="C52" s="63"/>
      <c r="D52" s="63"/>
      <c r="E52" s="63"/>
      <c r="F52" s="63"/>
      <c r="G52" s="38">
        <f aca="true" t="shared" si="13" ref="G52:L52">SUM(G49:G51)</f>
        <v>3357</v>
      </c>
      <c r="H52" s="38">
        <f t="shared" si="13"/>
        <v>3357</v>
      </c>
      <c r="I52" s="38">
        <f t="shared" si="13"/>
        <v>172847</v>
      </c>
      <c r="J52" s="38">
        <f t="shared" si="13"/>
        <v>172847</v>
      </c>
      <c r="K52" s="39">
        <f t="shared" si="13"/>
        <v>141352</v>
      </c>
      <c r="L52" s="39">
        <f t="shared" si="13"/>
        <v>142392</v>
      </c>
      <c r="M52" s="39">
        <f>ROUND(K52*100/119,2)</f>
        <v>118783.19</v>
      </c>
      <c r="N52" s="39">
        <f>ROUND(L52*100/119,2)</f>
        <v>119657.14</v>
      </c>
    </row>
    <row r="53" spans="2:14" ht="12.75">
      <c r="B53" s="61" t="s">
        <v>96</v>
      </c>
      <c r="C53" s="44"/>
      <c r="D53" s="44"/>
      <c r="E53" s="44"/>
      <c r="F53" s="44"/>
      <c r="G53" s="45"/>
      <c r="H53" s="45"/>
      <c r="I53" s="45"/>
      <c r="J53" s="45"/>
      <c r="K53" s="64">
        <v>324295</v>
      </c>
      <c r="L53" s="65">
        <f>K53</f>
        <v>324295</v>
      </c>
      <c r="M53" s="46">
        <f>ROUND(K53,2)</f>
        <v>324295</v>
      </c>
      <c r="N53" s="62">
        <f>M53</f>
        <v>324295</v>
      </c>
    </row>
    <row r="54" spans="2:14" ht="12.75">
      <c r="B54" s="61" t="s">
        <v>97</v>
      </c>
      <c r="C54" s="46"/>
      <c r="D54" s="46"/>
      <c r="E54" s="46"/>
      <c r="F54" s="46"/>
      <c r="G54" s="59"/>
      <c r="H54" s="59"/>
      <c r="I54" s="59">
        <f>I40+I52</f>
        <v>347910</v>
      </c>
      <c r="J54" s="59">
        <f>J40+J52</f>
        <v>316237</v>
      </c>
      <c r="K54" s="46">
        <f>K46+K48</f>
        <v>613739.6</v>
      </c>
      <c r="L54" s="46">
        <f>L46+L48</f>
        <v>635970</v>
      </c>
      <c r="M54" s="46">
        <f>M46+M48</f>
        <v>571926.02</v>
      </c>
      <c r="N54" s="46">
        <f>N46+N48</f>
        <v>590806.77</v>
      </c>
    </row>
    <row r="55" spans="3:13" ht="12.7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2:12" ht="15">
      <c r="B56" s="27" t="s">
        <v>49</v>
      </c>
      <c r="C56" s="7"/>
      <c r="D56"/>
      <c r="L56" s="7" t="s">
        <v>50</v>
      </c>
    </row>
    <row r="57" spans="2:14" ht="14.25">
      <c r="B57" s="66" t="s">
        <v>51</v>
      </c>
      <c r="C57" s="67"/>
      <c r="D57" s="68"/>
      <c r="E57" s="69"/>
      <c r="F57" s="69"/>
      <c r="G57" s="69"/>
      <c r="H57" s="69"/>
      <c r="I57" s="69"/>
      <c r="J57" s="69"/>
      <c r="K57" s="69"/>
      <c r="L57" s="66" t="s">
        <v>52</v>
      </c>
      <c r="M57" s="69"/>
      <c r="N57" s="69"/>
    </row>
    <row r="60" spans="4:14" ht="12.75">
      <c r="D60" s="44"/>
      <c r="E60" s="44"/>
      <c r="F60" s="44"/>
      <c r="G60" s="45"/>
      <c r="H60" s="45"/>
      <c r="I60" s="45"/>
      <c r="J60" s="45"/>
      <c r="K60" s="44"/>
      <c r="L60" s="44"/>
      <c r="M60" s="44"/>
      <c r="N60" s="44"/>
    </row>
    <row r="61" spans="4:14" ht="12.75">
      <c r="D61" s="44"/>
      <c r="E61" s="44"/>
      <c r="F61" s="44"/>
      <c r="G61" s="45"/>
      <c r="H61" s="45"/>
      <c r="I61" s="45"/>
      <c r="J61" s="45"/>
      <c r="K61" s="44"/>
      <c r="L61" s="44"/>
      <c r="M61" s="44"/>
      <c r="N61" s="44"/>
    </row>
    <row r="62" spans="4:14" ht="12.75">
      <c r="D62" s="44"/>
      <c r="E62" s="44"/>
      <c r="F62" s="44"/>
      <c r="G62" s="45"/>
      <c r="H62" s="45"/>
      <c r="I62" s="45"/>
      <c r="J62" s="45"/>
      <c r="K62" s="44"/>
      <c r="L62" s="44"/>
      <c r="M62" s="44"/>
      <c r="N62" s="44"/>
    </row>
    <row r="63" spans="4:14" ht="12.75">
      <c r="D63" s="44"/>
      <c r="E63" s="44"/>
      <c r="F63" s="44"/>
      <c r="G63" s="45"/>
      <c r="H63" s="45"/>
      <c r="I63" s="45"/>
      <c r="J63" s="45"/>
      <c r="K63" s="44"/>
      <c r="L63" s="44"/>
      <c r="M63" s="44"/>
      <c r="N63" s="44"/>
    </row>
    <row r="64" spans="4:14" ht="12.75">
      <c r="D64" s="44"/>
      <c r="E64" s="44"/>
      <c r="F64" s="44"/>
      <c r="G64" s="45"/>
      <c r="H64" s="45"/>
      <c r="I64" s="45"/>
      <c r="J64" s="45"/>
      <c r="K64" s="44"/>
      <c r="L64" s="44"/>
      <c r="M64" s="44"/>
      <c r="N64" s="44"/>
    </row>
    <row r="65" spans="4:14" ht="12.75">
      <c r="D65" s="44"/>
      <c r="E65" s="44"/>
      <c r="F65" s="44"/>
      <c r="G65" s="45"/>
      <c r="H65" s="45"/>
      <c r="I65" s="45"/>
      <c r="J65" s="45"/>
      <c r="K65" s="44"/>
      <c r="L65" s="44"/>
      <c r="M65" s="44"/>
      <c r="N65" s="44"/>
    </row>
  </sheetData>
  <sheetProtection selectLockedCells="1" selectUnlockedCells="1"/>
  <mergeCells count="9">
    <mergeCell ref="A4:N4"/>
    <mergeCell ref="A5:N5"/>
    <mergeCell ref="A6:N6"/>
    <mergeCell ref="C8:D8"/>
    <mergeCell ref="E8:F8"/>
    <mergeCell ref="G8:H8"/>
    <mergeCell ref="I8:J8"/>
    <mergeCell ref="K8:L8"/>
    <mergeCell ref="M8:N8"/>
  </mergeCells>
  <printOptions/>
  <pageMargins left="0.2" right="0.2" top="0.25" bottom="0.25" header="0.5118055555555555" footer="0.511805555555555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D44" sqref="D44"/>
    </sheetView>
  </sheetViews>
  <sheetFormatPr defaultColWidth="11.57421875" defaultRowHeight="12.75"/>
  <cols>
    <col min="1" max="1" width="5.7109375" style="0" customWidth="1"/>
    <col min="2" max="2" width="26.57421875" style="0" customWidth="1"/>
    <col min="3" max="3" width="5.57421875" style="0" customWidth="1"/>
    <col min="4" max="4" width="13.140625" style="0" customWidth="1"/>
    <col min="5" max="6" width="11.57421875" style="0" customWidth="1"/>
    <col min="7" max="7" width="13.140625" style="0" customWidth="1"/>
    <col min="8" max="8" width="11.57421875" style="0" customWidth="1"/>
    <col min="9" max="9" width="9.8515625" style="0" customWidth="1"/>
    <col min="10" max="10" width="13.57421875" style="0" customWidth="1"/>
    <col min="11" max="11" width="9.7109375" style="0" customWidth="1"/>
    <col min="12" max="12" width="10.421875" style="0" customWidth="1"/>
    <col min="13" max="13" width="9.57421875" style="0" customWidth="1"/>
    <col min="14" max="14" width="10.57421875" style="0" customWidth="1"/>
  </cols>
  <sheetData>
    <row r="1" ht="12.75">
      <c r="A1" s="70" t="s">
        <v>98</v>
      </c>
    </row>
    <row r="2" ht="12.75">
      <c r="A2" s="71" t="s">
        <v>99</v>
      </c>
    </row>
    <row r="3" spans="1:12" ht="12.75">
      <c r="A3" t="s">
        <v>100</v>
      </c>
      <c r="L3" s="28" t="s">
        <v>101</v>
      </c>
    </row>
    <row r="4" spans="5:12" ht="15">
      <c r="E4" s="72"/>
      <c r="F4" s="36" t="s">
        <v>102</v>
      </c>
      <c r="L4" s="29" t="s">
        <v>47</v>
      </c>
    </row>
    <row r="5" ht="15">
      <c r="F5" s="73" t="s">
        <v>103</v>
      </c>
    </row>
    <row r="6" ht="7.5" customHeight="1"/>
    <row r="7" spans="1:14" ht="12.75" customHeight="1">
      <c r="A7" s="232" t="s">
        <v>104</v>
      </c>
      <c r="B7" s="232" t="s">
        <v>64</v>
      </c>
      <c r="C7" s="233" t="s">
        <v>105</v>
      </c>
      <c r="D7" s="229" t="s">
        <v>106</v>
      </c>
      <c r="E7" s="232" t="s">
        <v>107</v>
      </c>
      <c r="F7" s="232"/>
      <c r="G7" s="229" t="s">
        <v>106</v>
      </c>
      <c r="H7" s="75" t="s">
        <v>108</v>
      </c>
      <c r="I7" s="75" t="s">
        <v>108</v>
      </c>
      <c r="J7" s="75" t="s">
        <v>108</v>
      </c>
      <c r="K7" s="229" t="s">
        <v>109</v>
      </c>
      <c r="L7" s="229" t="s">
        <v>109</v>
      </c>
      <c r="M7" s="229" t="s">
        <v>110</v>
      </c>
      <c r="N7" s="229" t="s">
        <v>110</v>
      </c>
    </row>
    <row r="8" spans="1:14" ht="12.75">
      <c r="A8" s="232"/>
      <c r="B8" s="232"/>
      <c r="C8" s="233"/>
      <c r="D8" s="229"/>
      <c r="E8" s="232"/>
      <c r="F8" s="232"/>
      <c r="G8" s="229"/>
      <c r="H8" s="76" t="s">
        <v>111</v>
      </c>
      <c r="I8" s="77">
        <v>2019</v>
      </c>
      <c r="J8" s="76" t="s">
        <v>112</v>
      </c>
      <c r="K8" s="229"/>
      <c r="L8" s="229"/>
      <c r="M8" s="229"/>
      <c r="N8" s="229"/>
    </row>
    <row r="9" spans="1:14" ht="25.5">
      <c r="A9" s="232"/>
      <c r="B9" s="232"/>
      <c r="C9" s="233"/>
      <c r="D9" s="78" t="s">
        <v>113</v>
      </c>
      <c r="E9" s="74" t="s">
        <v>114</v>
      </c>
      <c r="F9" s="74" t="s">
        <v>115</v>
      </c>
      <c r="G9" s="78">
        <v>2019</v>
      </c>
      <c r="H9" s="76">
        <v>2020</v>
      </c>
      <c r="I9" s="78" t="s">
        <v>116</v>
      </c>
      <c r="J9" s="78" t="s">
        <v>116</v>
      </c>
      <c r="K9" s="78" t="s">
        <v>116</v>
      </c>
      <c r="L9" s="78" t="s">
        <v>117</v>
      </c>
      <c r="M9" s="78" t="s">
        <v>116</v>
      </c>
      <c r="N9" s="78" t="s">
        <v>117</v>
      </c>
    </row>
    <row r="10" spans="1:14" ht="12.75">
      <c r="A10" s="79" t="s">
        <v>118</v>
      </c>
      <c r="B10" s="80" t="s">
        <v>119</v>
      </c>
      <c r="C10" s="81" t="s">
        <v>120</v>
      </c>
      <c r="D10" s="82">
        <v>3848564</v>
      </c>
      <c r="E10" s="82">
        <v>358430</v>
      </c>
      <c r="F10" s="82">
        <v>296055</v>
      </c>
      <c r="G10" s="82">
        <f>SUM(D10:F10)</f>
        <v>4503049</v>
      </c>
      <c r="H10" s="82">
        <v>347910</v>
      </c>
      <c r="I10" s="83">
        <f>G10/12</f>
        <v>375254.0833333333</v>
      </c>
      <c r="J10" s="83">
        <v>347910</v>
      </c>
      <c r="K10" s="83">
        <v>243737</v>
      </c>
      <c r="L10" s="84"/>
      <c r="M10" s="85">
        <v>316237</v>
      </c>
      <c r="N10" s="86"/>
    </row>
    <row r="11" spans="1:14" ht="12.75">
      <c r="A11" s="87">
        <v>1</v>
      </c>
      <c r="B11" s="88" t="s">
        <v>121</v>
      </c>
      <c r="C11" s="89" t="s">
        <v>117</v>
      </c>
      <c r="D11" s="90">
        <f aca="true" t="shared" si="0" ref="D11:N11">SUM(D12:D16)</f>
        <v>1332513.6558770193</v>
      </c>
      <c r="E11" s="90">
        <f t="shared" si="0"/>
        <v>155508.12239511288</v>
      </c>
      <c r="F11" s="90">
        <f t="shared" si="0"/>
        <v>154603.99056797478</v>
      </c>
      <c r="G11" s="90">
        <f t="shared" si="0"/>
        <v>1642625.7688401067</v>
      </c>
      <c r="H11" s="90">
        <f t="shared" si="0"/>
        <v>141996.9251155675</v>
      </c>
      <c r="I11" s="91">
        <f t="shared" si="0"/>
        <v>0.36478078938073</v>
      </c>
      <c r="J11" s="91">
        <f t="shared" si="0"/>
        <v>0.4081426952820197</v>
      </c>
      <c r="K11" s="91">
        <f t="shared" si="0"/>
        <v>0.5169999999999999</v>
      </c>
      <c r="L11" s="92">
        <f t="shared" si="0"/>
        <v>126012.03</v>
      </c>
      <c r="M11" s="91">
        <f t="shared" si="0"/>
        <v>0.43294413603547327</v>
      </c>
      <c r="N11" s="92">
        <f t="shared" si="0"/>
        <v>136912.96000000002</v>
      </c>
    </row>
    <row r="12" spans="1:14" ht="12.75">
      <c r="A12" s="93" t="s">
        <v>122</v>
      </c>
      <c r="B12" s="94" t="s">
        <v>123</v>
      </c>
      <c r="C12" s="93" t="s">
        <v>117</v>
      </c>
      <c r="D12" s="95">
        <v>1034620.5248907788</v>
      </c>
      <c r="E12" s="95">
        <v>107185.65254029082</v>
      </c>
      <c r="F12" s="95">
        <v>92670.37395632986</v>
      </c>
      <c r="G12" s="95">
        <f>SUM(D12:F12)</f>
        <v>1234476.5513873994</v>
      </c>
      <c r="H12" s="95">
        <v>101188.98263991714</v>
      </c>
      <c r="I12" s="96">
        <f>G12/$G$10</f>
        <v>0.2741423758407691</v>
      </c>
      <c r="J12" s="96">
        <f>H12/$H$10</f>
        <v>0.29084815797165114</v>
      </c>
      <c r="K12" s="97">
        <v>0.3842</v>
      </c>
      <c r="L12" s="98">
        <f>ROUND(K12*$K$10,2)</f>
        <v>93643.76</v>
      </c>
      <c r="M12" s="97">
        <f>G12/12/M10</f>
        <v>0.32530363603547324</v>
      </c>
      <c r="N12" s="98">
        <f>ROUND(M12*$M$10,2)</f>
        <v>102873.05</v>
      </c>
    </row>
    <row r="13" spans="1:14" ht="12.75">
      <c r="A13" s="93" t="s">
        <v>124</v>
      </c>
      <c r="B13" s="94" t="s">
        <v>125</v>
      </c>
      <c r="C13" s="93" t="s">
        <v>117</v>
      </c>
      <c r="D13" s="95">
        <v>36146.71411504941</v>
      </c>
      <c r="E13" s="95">
        <v>6072.352574968464</v>
      </c>
      <c r="F13" s="95">
        <v>20997.614869485704</v>
      </c>
      <c r="G13" s="95">
        <f>SUM(D13:F13)</f>
        <v>63216.68155950358</v>
      </c>
      <c r="H13" s="95">
        <v>1374.0789564057784</v>
      </c>
      <c r="I13" s="96">
        <f>G13/$G$10</f>
        <v>0.014038639499482147</v>
      </c>
      <c r="J13" s="96">
        <f>H13/$H$10</f>
        <v>0.003949524176958922</v>
      </c>
      <c r="K13" s="97">
        <v>0.0214</v>
      </c>
      <c r="L13" s="98">
        <f>ROUND(K13*$K$10,2)</f>
        <v>5215.97</v>
      </c>
      <c r="M13" s="97">
        <v>0.0167</v>
      </c>
      <c r="N13" s="98">
        <f>ROUND(M13*$M$10,2)</f>
        <v>5281.16</v>
      </c>
    </row>
    <row r="14" spans="1:14" ht="12.75">
      <c r="A14" s="93" t="s">
        <v>126</v>
      </c>
      <c r="B14" s="94" t="s">
        <v>127</v>
      </c>
      <c r="C14" s="93" t="s">
        <v>117</v>
      </c>
      <c r="D14" s="95">
        <v>130175.1509942168</v>
      </c>
      <c r="E14" s="95">
        <v>29063.618024137733</v>
      </c>
      <c r="F14" s="95">
        <v>12150.716002972877</v>
      </c>
      <c r="G14" s="95">
        <f>SUM(D14:F14)</f>
        <v>171389.48502132742</v>
      </c>
      <c r="H14" s="95">
        <v>14572.040550622125</v>
      </c>
      <c r="I14" s="96">
        <f>G14/$G$10</f>
        <v>0.03806076394490209</v>
      </c>
      <c r="J14" s="96">
        <f>H14/$H$10</f>
        <v>0.041884511944531994</v>
      </c>
      <c r="K14" s="97">
        <v>0.0933</v>
      </c>
      <c r="L14" s="98">
        <f>ROUND(K14*$K$10,2)</f>
        <v>22740.66</v>
      </c>
      <c r="M14" s="97">
        <v>0.045200000000000004</v>
      </c>
      <c r="N14" s="98">
        <f>ROUND(M14*$M$10,2)</f>
        <v>14293.91</v>
      </c>
    </row>
    <row r="15" spans="1:14" ht="12.75">
      <c r="A15" s="93" t="s">
        <v>128</v>
      </c>
      <c r="B15" s="94" t="s">
        <v>129</v>
      </c>
      <c r="C15" s="93" t="s">
        <v>117</v>
      </c>
      <c r="D15" s="95">
        <v>114149.9526864408</v>
      </c>
      <c r="E15" s="95">
        <v>13186.499255715873</v>
      </c>
      <c r="F15" s="95">
        <v>28785.285739186336</v>
      </c>
      <c r="G15" s="95">
        <f>SUM(D15:F15)</f>
        <v>156121.737681343</v>
      </c>
      <c r="H15" s="95">
        <v>32021.39564208555</v>
      </c>
      <c r="I15" s="96">
        <f>G15/$G$10</f>
        <v>0.03467022847882468</v>
      </c>
      <c r="J15" s="96">
        <f>H15/$H$10</f>
        <v>0.09203930798794387</v>
      </c>
      <c r="K15" s="97">
        <v>0.0181</v>
      </c>
      <c r="L15" s="98">
        <f>ROUND(K15*$K$10,2)</f>
        <v>4411.64</v>
      </c>
      <c r="M15" s="97">
        <v>0.041140499999999997</v>
      </c>
      <c r="N15" s="99">
        <f>ROUND(M15*$M$10,2)</f>
        <v>13010.15</v>
      </c>
    </row>
    <row r="16" spans="1:14" ht="12.75">
      <c r="A16" s="93" t="s">
        <v>130</v>
      </c>
      <c r="B16" s="94" t="s">
        <v>131</v>
      </c>
      <c r="C16" s="93" t="s">
        <v>117</v>
      </c>
      <c r="D16" s="95">
        <v>17421.3131905333</v>
      </c>
      <c r="E16" s="95">
        <v>0</v>
      </c>
      <c r="F16" s="95">
        <v>0</v>
      </c>
      <c r="G16" s="95">
        <f>SUM(D16:F16)</f>
        <v>17421.3131905333</v>
      </c>
      <c r="H16" s="95">
        <v>-7159.572673463128</v>
      </c>
      <c r="I16" s="96">
        <f>G16/$G$10</f>
        <v>0.0038687816167519607</v>
      </c>
      <c r="J16" s="96">
        <f>H16/$H$10</f>
        <v>-0.020578806799066218</v>
      </c>
      <c r="K16" s="97">
        <v>0</v>
      </c>
      <c r="L16" s="98">
        <f>ROUND(K16*$K$10,2)</f>
        <v>0</v>
      </c>
      <c r="M16" s="97">
        <v>0.0046</v>
      </c>
      <c r="N16" s="98">
        <f>ROUND(M16*$M$10,2)</f>
        <v>1454.69</v>
      </c>
    </row>
    <row r="17" spans="1:14" ht="12.75">
      <c r="A17" s="87">
        <v>2</v>
      </c>
      <c r="B17" s="88" t="s">
        <v>132</v>
      </c>
      <c r="C17" s="89" t="s">
        <v>117</v>
      </c>
      <c r="D17" s="90">
        <f aca="true" t="shared" si="1" ref="D17:N17">SUM(D18:D21)</f>
        <v>231816.52108571545</v>
      </c>
      <c r="E17" s="90">
        <f t="shared" si="1"/>
        <v>11071.845010061817</v>
      </c>
      <c r="F17" s="90">
        <f t="shared" si="1"/>
        <v>44651.770599725955</v>
      </c>
      <c r="G17" s="90">
        <f t="shared" si="1"/>
        <v>287540.1366955032</v>
      </c>
      <c r="H17" s="90">
        <f t="shared" si="1"/>
        <v>20738.709470708054</v>
      </c>
      <c r="I17" s="91">
        <f t="shared" si="1"/>
        <v>0.06385454315409475</v>
      </c>
      <c r="J17" s="91">
        <f t="shared" si="1"/>
        <v>0.05960940895837444</v>
      </c>
      <c r="K17" s="91">
        <f t="shared" si="1"/>
        <v>0.0748</v>
      </c>
      <c r="L17" s="92">
        <f t="shared" si="1"/>
        <v>18231.54</v>
      </c>
      <c r="M17" s="91">
        <f t="shared" si="1"/>
        <v>0.07570000000000002</v>
      </c>
      <c r="N17" s="92">
        <f t="shared" si="1"/>
        <v>23939.14</v>
      </c>
    </row>
    <row r="18" spans="1:14" ht="12.75">
      <c r="A18" s="93" t="s">
        <v>133</v>
      </c>
      <c r="B18" s="94" t="s">
        <v>134</v>
      </c>
      <c r="C18" s="93" t="s">
        <v>117</v>
      </c>
      <c r="D18" s="95">
        <v>13373.58862757071</v>
      </c>
      <c r="E18" s="95">
        <v>59.43337748021457</v>
      </c>
      <c r="F18" s="95">
        <v>0</v>
      </c>
      <c r="G18" s="95">
        <f>SUM(D18:F18)</f>
        <v>13433.022005050925</v>
      </c>
      <c r="H18" s="95">
        <v>3530.7073050962053</v>
      </c>
      <c r="I18" s="96">
        <f>G18/$G$10</f>
        <v>0.0029830947886756117</v>
      </c>
      <c r="J18" s="96">
        <f>H18/$H$10</f>
        <v>0.010148335216280663</v>
      </c>
      <c r="K18" s="97">
        <v>0.0061</v>
      </c>
      <c r="L18" s="98">
        <f>ROUND(K18*$K$10,2)</f>
        <v>1486.8</v>
      </c>
      <c r="M18" s="97">
        <v>0.0035</v>
      </c>
      <c r="N18" s="98">
        <f>ROUND(M18*$M$10,2)</f>
        <v>1106.83</v>
      </c>
    </row>
    <row r="19" spans="1:14" ht="12.75">
      <c r="A19" s="93" t="s">
        <v>135</v>
      </c>
      <c r="B19" s="94" t="s">
        <v>136</v>
      </c>
      <c r="C19" s="93" t="s">
        <v>117</v>
      </c>
      <c r="D19" s="95">
        <v>25041.09439957967</v>
      </c>
      <c r="E19" s="95">
        <v>544.3893420838905</v>
      </c>
      <c r="F19" s="95">
        <v>26772.81114072606</v>
      </c>
      <c r="G19" s="95">
        <f>SUM(D19:F19)</f>
        <v>52358.294882389615</v>
      </c>
      <c r="H19" s="95">
        <v>535.2183457352368</v>
      </c>
      <c r="I19" s="96">
        <f>G19/$G$10</f>
        <v>0.01162729849983636</v>
      </c>
      <c r="J19" s="96">
        <f>H19/$H$10</f>
        <v>0.0015383816094255319</v>
      </c>
      <c r="K19" s="97">
        <v>0.0137</v>
      </c>
      <c r="L19" s="98">
        <f>ROUND(K19*$K$10,2)</f>
        <v>3339.2</v>
      </c>
      <c r="M19" s="97">
        <v>0.013800000000000002</v>
      </c>
      <c r="N19" s="98">
        <f>ROUND(M19*$M$10,2)</f>
        <v>4364.07</v>
      </c>
    </row>
    <row r="20" spans="1:14" ht="12.75">
      <c r="A20" s="93" t="s">
        <v>137</v>
      </c>
      <c r="B20" s="94" t="s">
        <v>138</v>
      </c>
      <c r="C20" s="93" t="s">
        <v>117</v>
      </c>
      <c r="D20" s="95">
        <v>61473.875695735194</v>
      </c>
      <c r="E20" s="95">
        <v>7474.142072653617</v>
      </c>
      <c r="F20" s="95">
        <v>7663.295588164272</v>
      </c>
      <c r="G20" s="95">
        <f>SUM(D20:F20)</f>
        <v>76611.31335655309</v>
      </c>
      <c r="H20" s="95">
        <v>6460.94830352096</v>
      </c>
      <c r="I20" s="96">
        <f>G20/$G$10</f>
        <v>0.01701320890724331</v>
      </c>
      <c r="J20" s="96">
        <f>H20/$H$10</f>
        <v>0.018570746180106807</v>
      </c>
      <c r="K20" s="97">
        <v>0.0197</v>
      </c>
      <c r="L20" s="98">
        <f>ROUND(K20*$K$10,2)</f>
        <v>4801.62</v>
      </c>
      <c r="M20" s="97">
        <v>0.020200000000000003</v>
      </c>
      <c r="N20" s="98">
        <f>ROUND(M20*$M$10,2)</f>
        <v>6387.99</v>
      </c>
    </row>
    <row r="21" spans="1:14" ht="12.75">
      <c r="A21" s="93" t="s">
        <v>139</v>
      </c>
      <c r="B21" s="94" t="s">
        <v>140</v>
      </c>
      <c r="C21" s="93" t="s">
        <v>117</v>
      </c>
      <c r="D21" s="95">
        <v>131927.96236282986</v>
      </c>
      <c r="E21" s="95">
        <v>2993.880217844096</v>
      </c>
      <c r="F21" s="95">
        <v>10215.663870835626</v>
      </c>
      <c r="G21" s="95">
        <f>SUM(D21:F21)</f>
        <v>145137.50645150957</v>
      </c>
      <c r="H21" s="95">
        <v>10211.83551635565</v>
      </c>
      <c r="I21" s="96">
        <f>G21/$G$10</f>
        <v>0.03223094095833946</v>
      </c>
      <c r="J21" s="96">
        <f>H21/$H$10</f>
        <v>0.029351945952561437</v>
      </c>
      <c r="K21" s="97">
        <v>0.0353</v>
      </c>
      <c r="L21" s="98">
        <f>ROUND(K21*$K$10,2)</f>
        <v>8603.92</v>
      </c>
      <c r="M21" s="97">
        <v>0.038200000000000005</v>
      </c>
      <c r="N21" s="98">
        <f>ROUND(M21*$M$10,2)</f>
        <v>12080.25</v>
      </c>
    </row>
    <row r="22" spans="1:14" ht="12.75">
      <c r="A22" s="87">
        <v>3</v>
      </c>
      <c r="B22" s="88" t="s">
        <v>141</v>
      </c>
      <c r="C22" s="89" t="s">
        <v>117</v>
      </c>
      <c r="D22" s="90">
        <f aca="true" t="shared" si="2" ref="D22:N22">SUM(D23)</f>
        <v>48522.02308344839</v>
      </c>
      <c r="E22" s="90">
        <f t="shared" si="2"/>
        <v>7438.94716613154</v>
      </c>
      <c r="F22" s="90">
        <f t="shared" si="2"/>
        <v>15687.475660270222</v>
      </c>
      <c r="G22" s="90">
        <f t="shared" si="2"/>
        <v>71648.44590985015</v>
      </c>
      <c r="H22" s="90">
        <f t="shared" si="2"/>
        <v>9238.32717290033</v>
      </c>
      <c r="I22" s="91">
        <f t="shared" si="2"/>
        <v>0.015911096217218635</v>
      </c>
      <c r="J22" s="91">
        <f t="shared" si="2"/>
        <v>0.02655378452157262</v>
      </c>
      <c r="K22" s="91">
        <f t="shared" si="2"/>
        <v>0.0073</v>
      </c>
      <c r="L22" s="92">
        <f t="shared" si="2"/>
        <v>1779.28</v>
      </c>
      <c r="M22" s="91">
        <f t="shared" si="2"/>
        <v>0.0189</v>
      </c>
      <c r="N22" s="92">
        <f t="shared" si="2"/>
        <v>5976.88</v>
      </c>
    </row>
    <row r="23" spans="1:14" ht="12.75">
      <c r="A23" s="93" t="s">
        <v>142</v>
      </c>
      <c r="B23" s="100" t="s">
        <v>143</v>
      </c>
      <c r="C23" s="93" t="s">
        <v>117</v>
      </c>
      <c r="D23" s="95">
        <v>48522.02308344839</v>
      </c>
      <c r="E23" s="95">
        <v>7438.94716613154</v>
      </c>
      <c r="F23" s="95">
        <v>15687.475660270222</v>
      </c>
      <c r="G23" s="95">
        <f>SUM(D23:F23)</f>
        <v>71648.44590985015</v>
      </c>
      <c r="H23" s="95">
        <v>9238.32717290033</v>
      </c>
      <c r="I23" s="96">
        <f>G23/$G$10</f>
        <v>0.015911096217218635</v>
      </c>
      <c r="J23" s="96">
        <f>H23/$H$10</f>
        <v>0.02655378452157262</v>
      </c>
      <c r="K23" s="97">
        <v>0.0073</v>
      </c>
      <c r="L23" s="98">
        <f>ROUND(K23*$K$10,2)</f>
        <v>1779.28</v>
      </c>
      <c r="M23" s="97">
        <v>0.0189</v>
      </c>
      <c r="N23" s="98">
        <f>ROUND(M23*$M$10,2)</f>
        <v>5976.88</v>
      </c>
    </row>
    <row r="24" spans="1:14" ht="12.75">
      <c r="A24" s="87">
        <v>4</v>
      </c>
      <c r="B24" s="88" t="s">
        <v>144</v>
      </c>
      <c r="C24" s="89" t="s">
        <v>117</v>
      </c>
      <c r="D24" s="90">
        <f aca="true" t="shared" si="3" ref="D24:N24">SUM(D25:D26)</f>
        <v>205686.23984902856</v>
      </c>
      <c r="E24" s="90">
        <f t="shared" si="3"/>
        <v>22266.150883912644</v>
      </c>
      <c r="F24" s="90">
        <f t="shared" si="3"/>
        <v>22806.470164857215</v>
      </c>
      <c r="G24" s="90">
        <f t="shared" si="3"/>
        <v>250758.8608977984</v>
      </c>
      <c r="H24" s="90">
        <f t="shared" si="3"/>
        <v>21798.918827379788</v>
      </c>
      <c r="I24" s="91">
        <f t="shared" si="3"/>
        <v>0.055686460639846114</v>
      </c>
      <c r="J24" s="91">
        <f t="shared" si="3"/>
        <v>0.0626567756815837</v>
      </c>
      <c r="K24" s="91">
        <f t="shared" si="3"/>
        <v>0.21409999999999998</v>
      </c>
      <c r="L24" s="92">
        <f t="shared" si="3"/>
        <v>52184.09</v>
      </c>
      <c r="M24" s="91">
        <f t="shared" si="3"/>
        <v>0.2361356378285906</v>
      </c>
      <c r="N24" s="92">
        <f t="shared" si="3"/>
        <v>74674.83</v>
      </c>
    </row>
    <row r="25" spans="1:14" ht="12.75">
      <c r="A25" s="93" t="s">
        <v>145</v>
      </c>
      <c r="B25" s="101" t="s">
        <v>146</v>
      </c>
      <c r="C25" s="93" t="s">
        <v>117</v>
      </c>
      <c r="D25" s="95">
        <v>205686.23984902856</v>
      </c>
      <c r="E25" s="95">
        <v>22266.150883912644</v>
      </c>
      <c r="F25" s="95">
        <v>22806.470164857215</v>
      </c>
      <c r="G25" s="95">
        <f>SUM(D25:F25)</f>
        <v>250758.8608977984</v>
      </c>
      <c r="H25" s="95">
        <v>21798.918827379788</v>
      </c>
      <c r="I25" s="96">
        <f>G25/$G$10</f>
        <v>0.055686460639846114</v>
      </c>
      <c r="J25" s="96">
        <f>H25/$H$10</f>
        <v>0.0626567756815837</v>
      </c>
      <c r="K25" s="97">
        <v>0.0764</v>
      </c>
      <c r="L25" s="98">
        <f>ROUND(K25*$K$10,2)</f>
        <v>18621.51</v>
      </c>
      <c r="M25" s="97">
        <v>0.0661</v>
      </c>
      <c r="N25" s="98">
        <f>ROUND(M25*$M$10,2)</f>
        <v>20903.27</v>
      </c>
    </row>
    <row r="26" spans="1:14" ht="12.75">
      <c r="A26" s="93" t="s">
        <v>147</v>
      </c>
      <c r="B26" s="101" t="s">
        <v>148</v>
      </c>
      <c r="C26" s="93" t="s">
        <v>117</v>
      </c>
      <c r="D26" s="95">
        <v>0</v>
      </c>
      <c r="E26" s="95">
        <v>0</v>
      </c>
      <c r="F26" s="95">
        <v>0</v>
      </c>
      <c r="G26" s="95">
        <f>SUM(D26:F26)</f>
        <v>0</v>
      </c>
      <c r="H26" s="95">
        <v>0</v>
      </c>
      <c r="I26" s="96">
        <f>G26/$G$10</f>
        <v>0</v>
      </c>
      <c r="J26" s="96">
        <f>H26/$H$10</f>
        <v>0</v>
      </c>
      <c r="K26" s="97">
        <v>0.1377</v>
      </c>
      <c r="L26" s="98">
        <f>ROUND(K26*$K$10,2)</f>
        <v>33562.58</v>
      </c>
      <c r="M26" s="97">
        <f>N26/$M$10</f>
        <v>0.17003563782859057</v>
      </c>
      <c r="N26" s="98">
        <f>53771.56</f>
        <v>53771.56</v>
      </c>
    </row>
    <row r="27" spans="1:16" ht="12.75">
      <c r="A27" s="87">
        <v>5</v>
      </c>
      <c r="B27" s="88" t="s">
        <v>149</v>
      </c>
      <c r="C27" s="89" t="s">
        <v>117</v>
      </c>
      <c r="D27" s="90">
        <f aca="true" t="shared" si="4" ref="D27:N27">SUM(D28:D31)</f>
        <v>3837398.4919151543</v>
      </c>
      <c r="E27" s="90">
        <f t="shared" si="4"/>
        <v>357358.88300773496</v>
      </c>
      <c r="F27" s="90">
        <f t="shared" si="4"/>
        <v>382738.05143489654</v>
      </c>
      <c r="G27" s="90">
        <f t="shared" si="4"/>
        <v>4577495.426357786</v>
      </c>
      <c r="H27" s="90">
        <f t="shared" si="4"/>
        <v>350918.12004245823</v>
      </c>
      <c r="I27" s="91">
        <f t="shared" si="4"/>
        <v>1.016532448649301</v>
      </c>
      <c r="J27" s="91">
        <f t="shared" si="4"/>
        <v>1.0086462592120324</v>
      </c>
      <c r="K27" s="91">
        <f t="shared" si="4"/>
        <v>1.3393</v>
      </c>
      <c r="L27" s="92">
        <f t="shared" si="4"/>
        <v>326436.96</v>
      </c>
      <c r="M27" s="91">
        <f t="shared" si="4"/>
        <v>1.1895642340571002</v>
      </c>
      <c r="N27" s="92">
        <f t="shared" si="4"/>
        <v>375166.9925005384</v>
      </c>
      <c r="P27" s="102"/>
    </row>
    <row r="28" spans="1:16" ht="12.75">
      <c r="A28" s="93" t="s">
        <v>150</v>
      </c>
      <c r="B28" s="94" t="s">
        <v>151</v>
      </c>
      <c r="C28" s="93" t="s">
        <v>117</v>
      </c>
      <c r="D28" s="95">
        <v>3408728.0332351686</v>
      </c>
      <c r="E28" s="95">
        <v>328020.25969457865</v>
      </c>
      <c r="F28" s="95">
        <v>337076.884475123</v>
      </c>
      <c r="G28" s="95">
        <f>SUM(D28:F28)</f>
        <v>4073825.1774048703</v>
      </c>
      <c r="H28" s="95">
        <v>327163.9174325388</v>
      </c>
      <c r="I28" s="96">
        <f>G28/$G$10</f>
        <v>0.904681511883364</v>
      </c>
      <c r="J28" s="96">
        <f>H28/$H$10</f>
        <v>0.9403693985011606</v>
      </c>
      <c r="K28" s="103">
        <v>1.0428</v>
      </c>
      <c r="L28" s="98">
        <f>ROUND(K28*$K$10,2)</f>
        <v>254168.94</v>
      </c>
      <c r="M28" s="103">
        <f>(H28*107.2/100)/$M$10</f>
        <v>1.1090407494622123</v>
      </c>
      <c r="N28" s="98">
        <f>ROUND(M28*$M$10,2)</f>
        <v>350719.72</v>
      </c>
      <c r="P28" s="102"/>
    </row>
    <row r="29" spans="1:16" ht="12.75">
      <c r="A29" s="93" t="s">
        <v>152</v>
      </c>
      <c r="B29" s="94" t="s">
        <v>153</v>
      </c>
      <c r="C29" s="93" t="s">
        <v>117</v>
      </c>
      <c r="D29" s="95">
        <v>170284.69020529947</v>
      </c>
      <c r="E29" s="95">
        <v>7382.22491572617</v>
      </c>
      <c r="F29" s="95">
        <v>7583.0197765868315</v>
      </c>
      <c r="G29" s="95">
        <f>SUM(D29:F29)</f>
        <v>185249.93489761246</v>
      </c>
      <c r="H29" s="95">
        <v>7361.24597537533</v>
      </c>
      <c r="I29" s="96">
        <f>G29/$G$10</f>
        <v>0.041138778391621424</v>
      </c>
      <c r="J29" s="96">
        <f>H29/$H$10</f>
        <v>0.0211584776964598</v>
      </c>
      <c r="K29" s="103">
        <v>0.2335</v>
      </c>
      <c r="L29" s="98">
        <f>ROUND(K29*$K$10,2)</f>
        <v>56912.59</v>
      </c>
      <c r="M29" s="103">
        <f>(H29*107.2/100)/$M$10</f>
        <v>0.02495361290931281</v>
      </c>
      <c r="N29" s="98">
        <f>ROUND(M29*$M$10,2)</f>
        <v>7891.26</v>
      </c>
      <c r="P29" s="102"/>
    </row>
    <row r="30" spans="1:16" ht="12.75">
      <c r="A30" s="93" t="s">
        <v>154</v>
      </c>
      <c r="B30" s="94" t="s">
        <v>155</v>
      </c>
      <c r="C30" s="93" t="s">
        <v>117</v>
      </c>
      <c r="D30" s="95">
        <v>126726.64091924293</v>
      </c>
      <c r="E30" s="95">
        <v>16111.307914965051</v>
      </c>
      <c r="F30" s="95">
        <v>16304.830025249697</v>
      </c>
      <c r="G30" s="95">
        <f>SUM(D30:F30)</f>
        <v>159142.77885945767</v>
      </c>
      <c r="H30" s="95">
        <v>14128.332500538429</v>
      </c>
      <c r="I30" s="96">
        <f>G30/$G$10</f>
        <v>0.03534111639901268</v>
      </c>
      <c r="J30" s="96">
        <f>H30/$H$10</f>
        <v>0.04060915897944419</v>
      </c>
      <c r="K30" s="103">
        <v>0.0549</v>
      </c>
      <c r="L30" s="98">
        <f>ROUND(K30*$K$10,2)</f>
        <v>13381.16</v>
      </c>
      <c r="M30" s="103">
        <f>(H30*107.2/100)/$M$10</f>
        <v>0.047893106880526934</v>
      </c>
      <c r="N30" s="98">
        <f>H30</f>
        <v>14128.332500538429</v>
      </c>
      <c r="P30" s="102"/>
    </row>
    <row r="31" spans="1:17" ht="12.75">
      <c r="A31" s="93" t="s">
        <v>156</v>
      </c>
      <c r="B31" s="94" t="s">
        <v>157</v>
      </c>
      <c r="C31" s="93" t="s">
        <v>117</v>
      </c>
      <c r="D31" s="95">
        <v>131659.1275554435</v>
      </c>
      <c r="E31" s="95">
        <v>5845.090482465128</v>
      </c>
      <c r="F31" s="95">
        <v>21773.317157936955</v>
      </c>
      <c r="G31" s="95">
        <f>SUM(D31:F31)</f>
        <v>159277.5351958456</v>
      </c>
      <c r="H31" s="95">
        <v>2264.6241340056426</v>
      </c>
      <c r="I31" s="96">
        <f>G31/$G$10</f>
        <v>0.035371041975302865</v>
      </c>
      <c r="J31" s="96">
        <f>H31/$H$10</f>
        <v>0.0065092240349677866</v>
      </c>
      <c r="K31" s="103">
        <v>0.0081</v>
      </c>
      <c r="L31" s="98">
        <f>ROUND(K31*$K$10,2)</f>
        <v>1974.27</v>
      </c>
      <c r="M31" s="103">
        <f>(H31*107.2/100)/$M$10</f>
        <v>0.007676764805048268</v>
      </c>
      <c r="N31" s="98">
        <f>ROUND(M31*$M$10,2)</f>
        <v>2427.68</v>
      </c>
      <c r="P31" s="102"/>
      <c r="Q31" s="102"/>
    </row>
    <row r="32" spans="1:14" ht="12.75">
      <c r="A32" s="87">
        <v>6</v>
      </c>
      <c r="B32" s="88" t="s">
        <v>158</v>
      </c>
      <c r="C32" s="89" t="s">
        <v>117</v>
      </c>
      <c r="D32" s="90">
        <f aca="true" t="shared" si="5" ref="D32:N32">SUM(D33)</f>
        <v>183.26113551254798</v>
      </c>
      <c r="E32" s="90">
        <f t="shared" si="5"/>
        <v>0</v>
      </c>
      <c r="F32" s="90">
        <f t="shared" si="5"/>
        <v>3.0189411843626393</v>
      </c>
      <c r="G32" s="90">
        <f t="shared" si="5"/>
        <v>186.2800766969106</v>
      </c>
      <c r="H32" s="90">
        <f t="shared" si="5"/>
        <v>0</v>
      </c>
      <c r="I32" s="91">
        <f t="shared" si="5"/>
        <v>4.1367543790198735E-05</v>
      </c>
      <c r="J32" s="91">
        <f t="shared" si="5"/>
        <v>0</v>
      </c>
      <c r="K32" s="91">
        <f t="shared" si="5"/>
        <v>0</v>
      </c>
      <c r="L32" s="92">
        <f t="shared" si="5"/>
        <v>0</v>
      </c>
      <c r="M32" s="91">
        <f t="shared" si="5"/>
        <v>0.000589</v>
      </c>
      <c r="N32" s="92">
        <f t="shared" si="5"/>
        <v>186.26</v>
      </c>
    </row>
    <row r="33" spans="1:14" ht="12.75">
      <c r="A33" s="93" t="s">
        <v>159</v>
      </c>
      <c r="B33" s="101" t="s">
        <v>158</v>
      </c>
      <c r="C33" s="93" t="s">
        <v>117</v>
      </c>
      <c r="D33" s="95">
        <f>138.931135512548+44.33</f>
        <v>183.26113551254798</v>
      </c>
      <c r="E33" s="95">
        <v>0</v>
      </c>
      <c r="F33" s="95">
        <v>3.0189411843626393</v>
      </c>
      <c r="G33" s="95">
        <f>SUM(D33:F33)</f>
        <v>186.2800766969106</v>
      </c>
      <c r="H33" s="95">
        <v>0</v>
      </c>
      <c r="I33" s="96">
        <f>G33/$G$10</f>
        <v>4.1367543790198735E-05</v>
      </c>
      <c r="J33" s="96">
        <f>H33/$H$10</f>
        <v>0</v>
      </c>
      <c r="K33" s="103">
        <v>0</v>
      </c>
      <c r="L33" s="98">
        <f>ROUND(K33*$K$10,2)</f>
        <v>0</v>
      </c>
      <c r="M33" s="103">
        <v>0.000589</v>
      </c>
      <c r="N33" s="98">
        <f>ROUND(M33*$M$10,2)</f>
        <v>186.26</v>
      </c>
    </row>
    <row r="34" spans="1:14" ht="12.75">
      <c r="A34" s="93"/>
      <c r="B34" s="104"/>
      <c r="C34" s="93"/>
      <c r="D34" s="95"/>
      <c r="E34" s="95"/>
      <c r="F34" s="95"/>
      <c r="G34" s="95"/>
      <c r="H34" s="95"/>
      <c r="I34" s="103"/>
      <c r="J34" s="86"/>
      <c r="K34" s="103"/>
      <c r="L34" s="98"/>
      <c r="M34" s="103"/>
      <c r="N34" s="105"/>
    </row>
    <row r="35" spans="1:14" ht="12.75">
      <c r="A35" s="106" t="s">
        <v>160</v>
      </c>
      <c r="B35" s="107" t="s">
        <v>161</v>
      </c>
      <c r="C35" s="87" t="s">
        <v>117</v>
      </c>
      <c r="D35" s="108">
        <f aca="true" t="shared" si="6" ref="D35:J35">D11+D17+D22+D24+D27+D32</f>
        <v>5656120.192945879</v>
      </c>
      <c r="E35" s="108">
        <f t="shared" si="6"/>
        <v>553643.9484629538</v>
      </c>
      <c r="F35" s="108">
        <f t="shared" si="6"/>
        <v>620490.7773689091</v>
      </c>
      <c r="G35" s="108">
        <f t="shared" si="6"/>
        <v>6830254.918777741</v>
      </c>
      <c r="H35" s="108">
        <f t="shared" si="6"/>
        <v>544691.0006290139</v>
      </c>
      <c r="I35" s="109">
        <f t="shared" si="6"/>
        <v>1.5168067055849808</v>
      </c>
      <c r="J35" s="109">
        <f t="shared" si="6"/>
        <v>1.5656089236555828</v>
      </c>
      <c r="K35" s="110">
        <v>2.1525</v>
      </c>
      <c r="L35" s="111">
        <f>L11+L17+L22+L24+L27+L32</f>
        <v>524643.9</v>
      </c>
      <c r="M35" s="112">
        <f>M11+M17+M22+M24+M27+M32</f>
        <v>1.953833007921164</v>
      </c>
      <c r="N35" s="111">
        <f>N11+N17+N22+N24+N27+N32</f>
        <v>616857.0625005385</v>
      </c>
    </row>
    <row r="36" spans="1:13" ht="12.75">
      <c r="A36" s="113"/>
      <c r="B36" s="114"/>
      <c r="C36" s="115"/>
      <c r="D36" s="116"/>
      <c r="E36" s="116"/>
      <c r="F36" s="116"/>
      <c r="G36" s="230" t="s">
        <v>162</v>
      </c>
      <c r="H36" s="230"/>
      <c r="I36" s="230"/>
      <c r="J36" s="230"/>
      <c r="K36" s="117">
        <v>0.107625</v>
      </c>
      <c r="L36" s="118"/>
      <c r="M36" s="117">
        <f>SUM(M37:M37)</f>
        <v>0.0976916503960582</v>
      </c>
    </row>
    <row r="37" spans="1:13" ht="12.75">
      <c r="A37" s="113"/>
      <c r="B37" s="119"/>
      <c r="C37" s="115"/>
      <c r="D37" s="116"/>
      <c r="E37" s="116"/>
      <c r="F37" s="116"/>
      <c r="G37" s="231">
        <v>0.05</v>
      </c>
      <c r="H37" s="231"/>
      <c r="I37" s="231"/>
      <c r="J37" s="231"/>
      <c r="K37" s="120">
        <v>0.107625</v>
      </c>
      <c r="L37" s="121"/>
      <c r="M37" s="120">
        <f>M35*5/100</f>
        <v>0.0976916503960582</v>
      </c>
    </row>
    <row r="38" spans="1:13" ht="12.75">
      <c r="A38" s="114"/>
      <c r="B38" s="114"/>
      <c r="C38" s="115"/>
      <c r="D38" s="116"/>
      <c r="E38" s="116"/>
      <c r="F38" s="116"/>
      <c r="G38" s="228" t="s">
        <v>163</v>
      </c>
      <c r="H38" s="228"/>
      <c r="I38" s="228"/>
      <c r="J38" s="228"/>
      <c r="K38" s="122">
        <v>2.260125</v>
      </c>
      <c r="L38" s="118"/>
      <c r="M38" s="122">
        <f>SUM(M35:M36)</f>
        <v>2.051524658317222</v>
      </c>
    </row>
    <row r="39" spans="1:13" ht="7.5" customHeight="1">
      <c r="A39" s="123"/>
      <c r="B39" s="123"/>
      <c r="C39" s="123"/>
      <c r="D39" s="123"/>
      <c r="E39" s="123"/>
      <c r="F39" s="123"/>
      <c r="K39" s="123"/>
      <c r="L39" s="123"/>
      <c r="M39" s="123"/>
    </row>
    <row r="40" spans="4:13" ht="12.75">
      <c r="D40" s="124"/>
      <c r="E40" s="124"/>
      <c r="F40" s="124"/>
      <c r="G40" s="124"/>
      <c r="H40" s="124"/>
      <c r="I40" s="125"/>
      <c r="J40" s="35" t="s">
        <v>164</v>
      </c>
      <c r="K40" s="126">
        <v>1.68</v>
      </c>
      <c r="L40" s="126"/>
      <c r="M40" s="126">
        <f>ROUND(M42*100/119,2)</f>
        <v>2.1</v>
      </c>
    </row>
    <row r="41" spans="9:13" ht="12.75">
      <c r="I41" s="125"/>
      <c r="J41" s="35" t="s">
        <v>165</v>
      </c>
      <c r="K41" s="126">
        <v>0.32000000000000006</v>
      </c>
      <c r="L41" s="126"/>
      <c r="M41" s="126">
        <f>M42-M40</f>
        <v>0.3999999999999999</v>
      </c>
    </row>
    <row r="42" spans="10:15" ht="12.75">
      <c r="J42" s="35" t="s">
        <v>166</v>
      </c>
      <c r="K42" s="126">
        <v>2</v>
      </c>
      <c r="L42" s="126"/>
      <c r="M42" s="126">
        <v>2.5</v>
      </c>
      <c r="O42" s="102"/>
    </row>
    <row r="43" spans="10:13" ht="12.75">
      <c r="J43" s="35"/>
      <c r="K43" s="126"/>
      <c r="L43" s="126"/>
      <c r="M43" s="126"/>
    </row>
    <row r="44" spans="2:12" ht="15">
      <c r="B44" s="27" t="s">
        <v>49</v>
      </c>
      <c r="C44" s="7"/>
      <c r="E44" s="30"/>
      <c r="F44" s="30"/>
      <c r="G44" s="30"/>
      <c r="H44" s="30"/>
      <c r="I44" s="30"/>
      <c r="J44" s="30"/>
      <c r="K44" s="7" t="s">
        <v>50</v>
      </c>
      <c r="L44" s="7"/>
    </row>
    <row r="45" spans="1:13" ht="14.25">
      <c r="A45" s="68"/>
      <c r="B45" s="66" t="s">
        <v>51</v>
      </c>
      <c r="C45" s="67"/>
      <c r="D45" s="68"/>
      <c r="E45" s="69"/>
      <c r="F45" s="69"/>
      <c r="G45" s="69"/>
      <c r="H45" s="69"/>
      <c r="I45" s="69"/>
      <c r="J45" s="69"/>
      <c r="K45" s="66" t="s">
        <v>52</v>
      </c>
      <c r="L45" s="66"/>
      <c r="M45" s="68"/>
    </row>
    <row r="46" ht="12.75">
      <c r="M46" s="102"/>
    </row>
    <row r="47" ht="12.75">
      <c r="M47" s="102"/>
    </row>
  </sheetData>
  <sheetProtection selectLockedCells="1" selectUnlockedCells="1"/>
  <mergeCells count="13">
    <mergeCell ref="A7:A9"/>
    <mergeCell ref="B7:B9"/>
    <mergeCell ref="C7:C9"/>
    <mergeCell ref="D7:D8"/>
    <mergeCell ref="E7:F8"/>
    <mergeCell ref="G7:G8"/>
    <mergeCell ref="G38:J38"/>
    <mergeCell ref="K7:K8"/>
    <mergeCell ref="L7:L8"/>
    <mergeCell ref="M7:M8"/>
    <mergeCell ref="N7:N8"/>
    <mergeCell ref="G36:J36"/>
    <mergeCell ref="G37:J37"/>
  </mergeCells>
  <printOptions/>
  <pageMargins left="0.49027777777777776" right="0.2902777777777778" top="0.2902777777777778" bottom="0.2902777777777778" header="0.5118055555555555" footer="0.5118055555555555"/>
  <pageSetup horizontalDpi="300" verticalDpi="3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J30" sqref="J30"/>
    </sheetView>
  </sheetViews>
  <sheetFormatPr defaultColWidth="11.57421875" defaultRowHeight="12.75"/>
  <cols>
    <col min="1" max="1" width="3.00390625" style="127" customWidth="1"/>
    <col min="2" max="2" width="35.8515625" style="127" customWidth="1"/>
    <col min="3" max="3" width="9.421875" style="127" customWidth="1"/>
    <col min="4" max="5" width="8.421875" style="127" customWidth="1"/>
    <col min="6" max="6" width="6.8515625" style="127" customWidth="1"/>
    <col min="7" max="7" width="11.57421875" style="127" customWidth="1"/>
    <col min="8" max="8" width="27.421875" style="127" customWidth="1"/>
    <col min="9" max="16384" width="11.57421875" style="127" customWidth="1"/>
  </cols>
  <sheetData>
    <row r="1" spans="1:8" ht="12.75">
      <c r="A1" s="128" t="s">
        <v>98</v>
      </c>
      <c r="B1" s="129"/>
      <c r="C1" s="130"/>
      <c r="D1" s="130"/>
      <c r="E1" s="130"/>
      <c r="F1" s="130"/>
      <c r="G1" s="130"/>
      <c r="H1" s="131" t="s">
        <v>167</v>
      </c>
    </row>
    <row r="2" spans="1:8" ht="12.75">
      <c r="A2" s="127" t="s">
        <v>99</v>
      </c>
      <c r="B2" s="129"/>
      <c r="C2" s="130"/>
      <c r="D2" s="130"/>
      <c r="E2" s="130"/>
      <c r="F2" s="130"/>
      <c r="G2" s="130"/>
      <c r="H2" s="29" t="s">
        <v>47</v>
      </c>
    </row>
    <row r="3" spans="1:8" ht="12.75">
      <c r="A3" s="127" t="s">
        <v>100</v>
      </c>
      <c r="B3" s="129"/>
      <c r="C3" s="130"/>
      <c r="D3" s="130"/>
      <c r="E3" s="130"/>
      <c r="F3" s="130"/>
      <c r="G3" s="130"/>
      <c r="H3" s="130"/>
    </row>
    <row r="4" spans="2:8" ht="12.75">
      <c r="B4" s="129"/>
      <c r="C4" s="130"/>
      <c r="D4" s="130"/>
      <c r="E4" s="130"/>
      <c r="F4" s="130"/>
      <c r="G4" s="130"/>
      <c r="H4" s="130"/>
    </row>
    <row r="5" spans="2:8" ht="12.75">
      <c r="B5" s="129"/>
      <c r="C5" s="130"/>
      <c r="D5" s="130"/>
      <c r="E5" s="130"/>
      <c r="F5" s="130"/>
      <c r="G5" s="130"/>
      <c r="H5" s="130"/>
    </row>
    <row r="6" spans="2:8" ht="12.75">
      <c r="B6" s="129"/>
      <c r="C6" s="130"/>
      <c r="D6" s="36" t="s">
        <v>102</v>
      </c>
      <c r="E6" s="130"/>
      <c r="F6" s="130"/>
      <c r="G6" s="130"/>
      <c r="H6" s="130"/>
    </row>
    <row r="7" spans="2:8" ht="12.75">
      <c r="B7" s="129"/>
      <c r="C7" s="130"/>
      <c r="D7" s="29" t="s">
        <v>168</v>
      </c>
      <c r="E7" s="130"/>
      <c r="F7" s="130"/>
      <c r="G7" s="130"/>
      <c r="H7" s="130"/>
    </row>
    <row r="8" spans="2:8" ht="12.75">
      <c r="B8" s="129"/>
      <c r="C8" s="130"/>
      <c r="D8" s="29"/>
      <c r="E8" s="130"/>
      <c r="F8" s="130"/>
      <c r="G8" s="130"/>
      <c r="H8" s="130"/>
    </row>
    <row r="9" spans="2:8" ht="12.75" customHeight="1">
      <c r="B9" s="238" t="s">
        <v>77</v>
      </c>
      <c r="C9" s="234" t="s">
        <v>169</v>
      </c>
      <c r="D9" s="234" t="s">
        <v>170</v>
      </c>
      <c r="E9" s="234" t="s">
        <v>171</v>
      </c>
      <c r="F9" s="234" t="s">
        <v>172</v>
      </c>
      <c r="G9" s="234" t="s">
        <v>173</v>
      </c>
      <c r="H9" s="234" t="s">
        <v>174</v>
      </c>
    </row>
    <row r="10" spans="2:8" ht="12.75">
      <c r="B10" s="238"/>
      <c r="C10" s="238"/>
      <c r="D10" s="238"/>
      <c r="E10" s="238"/>
      <c r="F10" s="238"/>
      <c r="G10" s="238"/>
      <c r="H10" s="238"/>
    </row>
    <row r="11" spans="2:8" ht="12.75">
      <c r="B11" s="132">
        <v>0</v>
      </c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3">
        <v>6</v>
      </c>
    </row>
    <row r="12" spans="2:8" ht="12.75">
      <c r="B12" s="134" t="s">
        <v>16</v>
      </c>
      <c r="C12" s="135" t="s">
        <v>175</v>
      </c>
      <c r="D12" s="135" t="s">
        <v>176</v>
      </c>
      <c r="E12" s="135">
        <v>1</v>
      </c>
      <c r="F12" s="135">
        <v>1</v>
      </c>
      <c r="G12" s="135">
        <v>1</v>
      </c>
      <c r="H12" s="135" t="s">
        <v>177</v>
      </c>
    </row>
    <row r="13" spans="2:8" ht="12.75">
      <c r="B13" s="134" t="s">
        <v>17</v>
      </c>
      <c r="C13" s="135" t="s">
        <v>175</v>
      </c>
      <c r="D13" s="135" t="s">
        <v>176</v>
      </c>
      <c r="E13" s="135">
        <v>1</v>
      </c>
      <c r="F13" s="135">
        <v>1</v>
      </c>
      <c r="G13" s="135">
        <v>2</v>
      </c>
      <c r="H13" s="135" t="s">
        <v>177</v>
      </c>
    </row>
    <row r="14" spans="2:8" ht="12.75">
      <c r="B14" s="136" t="s">
        <v>20</v>
      </c>
      <c r="C14" s="135" t="s">
        <v>175</v>
      </c>
      <c r="D14" s="135" t="s">
        <v>176</v>
      </c>
      <c r="E14" s="135">
        <v>1</v>
      </c>
      <c r="F14" s="135">
        <v>1</v>
      </c>
      <c r="G14" s="135">
        <v>1</v>
      </c>
      <c r="H14" s="135" t="s">
        <v>177</v>
      </c>
    </row>
    <row r="15" ht="7.5" customHeight="1">
      <c r="C15" s="137"/>
    </row>
    <row r="16" spans="2:8" ht="12.75" customHeight="1">
      <c r="B16" s="235" t="s">
        <v>178</v>
      </c>
      <c r="C16" s="234" t="s">
        <v>169</v>
      </c>
      <c r="D16" s="234" t="s">
        <v>170</v>
      </c>
      <c r="E16" s="234" t="s">
        <v>171</v>
      </c>
      <c r="F16" s="234" t="s">
        <v>172</v>
      </c>
      <c r="G16" s="234" t="s">
        <v>173</v>
      </c>
      <c r="H16" s="234" t="s">
        <v>174</v>
      </c>
    </row>
    <row r="17" spans="2:8" ht="12.75">
      <c r="B17" s="235"/>
      <c r="C17" s="234"/>
      <c r="D17" s="234"/>
      <c r="E17" s="234"/>
      <c r="F17" s="234"/>
      <c r="G17" s="234"/>
      <c r="H17" s="234"/>
    </row>
    <row r="18" spans="2:8" ht="12.75">
      <c r="B18" s="132">
        <v>0</v>
      </c>
      <c r="C18" s="132">
        <v>1</v>
      </c>
      <c r="D18" s="132">
        <v>2</v>
      </c>
      <c r="E18" s="132">
        <v>3</v>
      </c>
      <c r="F18" s="132">
        <v>4</v>
      </c>
      <c r="G18" s="132">
        <v>5</v>
      </c>
      <c r="H18" s="132">
        <v>6</v>
      </c>
    </row>
    <row r="19" spans="2:8" ht="12.75" customHeight="1">
      <c r="B19" s="237" t="s">
        <v>22</v>
      </c>
      <c r="C19" s="236" t="s">
        <v>175</v>
      </c>
      <c r="D19" s="236" t="s">
        <v>179</v>
      </c>
      <c r="E19" s="236">
        <v>2</v>
      </c>
      <c r="F19" s="236">
        <v>21.5</v>
      </c>
      <c r="G19" s="236">
        <v>2</v>
      </c>
      <c r="H19" s="236" t="s">
        <v>177</v>
      </c>
    </row>
    <row r="20" spans="2:8" ht="12.75">
      <c r="B20" s="237" t="s">
        <v>22</v>
      </c>
      <c r="C20" s="236"/>
      <c r="D20" s="236"/>
      <c r="E20" s="236"/>
      <c r="F20" s="236"/>
      <c r="G20" s="236"/>
      <c r="H20" s="236"/>
    </row>
    <row r="21" spans="2:8" ht="25.5">
      <c r="B21" s="138" t="s">
        <v>23</v>
      </c>
      <c r="C21" s="139" t="s">
        <v>175</v>
      </c>
      <c r="D21" s="139" t="s">
        <v>176</v>
      </c>
      <c r="E21" s="139">
        <v>2</v>
      </c>
      <c r="F21" s="139">
        <v>30</v>
      </c>
      <c r="G21" s="139">
        <v>2</v>
      </c>
      <c r="H21" s="139" t="s">
        <v>177</v>
      </c>
    </row>
    <row r="22" spans="2:8" ht="25.5">
      <c r="B22" s="138" t="s">
        <v>25</v>
      </c>
      <c r="C22" s="139" t="s">
        <v>175</v>
      </c>
      <c r="D22" s="139" t="s">
        <v>176</v>
      </c>
      <c r="E22" s="139">
        <v>3</v>
      </c>
      <c r="F22" s="139">
        <v>30</v>
      </c>
      <c r="G22" s="139">
        <v>2</v>
      </c>
      <c r="H22" s="139" t="s">
        <v>177</v>
      </c>
    </row>
    <row r="23" ht="7.5" customHeight="1">
      <c r="C23" s="137"/>
    </row>
    <row r="24" spans="2:8" ht="12.75" customHeight="1">
      <c r="B24" s="235" t="s">
        <v>180</v>
      </c>
      <c r="C24" s="234" t="s">
        <v>169</v>
      </c>
      <c r="D24" s="234" t="s">
        <v>170</v>
      </c>
      <c r="E24" s="234" t="s">
        <v>171</v>
      </c>
      <c r="F24" s="234" t="s">
        <v>172</v>
      </c>
      <c r="G24" s="234" t="s">
        <v>173</v>
      </c>
      <c r="H24" s="234" t="s">
        <v>174</v>
      </c>
    </row>
    <row r="25" spans="2:8" ht="12.75">
      <c r="B25" s="235"/>
      <c r="C25" s="234"/>
      <c r="D25" s="234"/>
      <c r="E25" s="234"/>
      <c r="F25" s="234"/>
      <c r="G25" s="234"/>
      <c r="H25" s="234"/>
    </row>
    <row r="26" spans="2:8" ht="12.75">
      <c r="B26" s="132">
        <v>0</v>
      </c>
      <c r="C26" s="132">
        <v>1</v>
      </c>
      <c r="D26" s="132">
        <v>2</v>
      </c>
      <c r="E26" s="132">
        <v>3</v>
      </c>
      <c r="F26" s="132">
        <v>4</v>
      </c>
      <c r="G26" s="132">
        <v>5</v>
      </c>
      <c r="H26" s="132">
        <v>6</v>
      </c>
    </row>
    <row r="27" spans="2:8" ht="12.75" customHeight="1">
      <c r="B27" s="237" t="s">
        <v>181</v>
      </c>
      <c r="C27" s="236" t="s">
        <v>175</v>
      </c>
      <c r="D27" s="236" t="s">
        <v>179</v>
      </c>
      <c r="E27" s="236">
        <v>2</v>
      </c>
      <c r="F27" s="236">
        <v>10.75</v>
      </c>
      <c r="G27" s="236">
        <v>2</v>
      </c>
      <c r="H27" s="236" t="s">
        <v>177</v>
      </c>
    </row>
    <row r="28" spans="2:8" ht="12.75">
      <c r="B28" s="237" t="s">
        <v>22</v>
      </c>
      <c r="C28" s="236"/>
      <c r="D28" s="236"/>
      <c r="E28" s="236"/>
      <c r="F28" s="236"/>
      <c r="G28" s="236"/>
      <c r="H28" s="236"/>
    </row>
    <row r="29" spans="2:8" ht="25.5">
      <c r="B29" s="138" t="s">
        <v>182</v>
      </c>
      <c r="C29" s="139" t="s">
        <v>175</v>
      </c>
      <c r="D29" s="139" t="s">
        <v>176</v>
      </c>
      <c r="E29" s="139">
        <v>2</v>
      </c>
      <c r="F29" s="139">
        <v>15</v>
      </c>
      <c r="G29" s="139">
        <v>2</v>
      </c>
      <c r="H29" s="139" t="s">
        <v>177</v>
      </c>
    </row>
    <row r="30" spans="2:8" ht="25.5">
      <c r="B30" s="138" t="s">
        <v>25</v>
      </c>
      <c r="C30" s="139" t="s">
        <v>175</v>
      </c>
      <c r="D30" s="139" t="s">
        <v>176</v>
      </c>
      <c r="E30" s="139">
        <v>3</v>
      </c>
      <c r="F30" s="139">
        <v>15</v>
      </c>
      <c r="G30" s="139">
        <v>2</v>
      </c>
      <c r="H30" s="139" t="s">
        <v>177</v>
      </c>
    </row>
    <row r="31" ht="7.5" customHeight="1">
      <c r="C31" s="137"/>
    </row>
    <row r="32" spans="2:8" ht="12.75" customHeight="1">
      <c r="B32" s="235" t="s">
        <v>183</v>
      </c>
      <c r="C32" s="234" t="s">
        <v>169</v>
      </c>
      <c r="D32" s="234" t="s">
        <v>170</v>
      </c>
      <c r="E32" s="234" t="s">
        <v>171</v>
      </c>
      <c r="F32" s="234" t="s">
        <v>172</v>
      </c>
      <c r="G32" s="234" t="s">
        <v>173</v>
      </c>
      <c r="H32" s="234" t="s">
        <v>174</v>
      </c>
    </row>
    <row r="33" spans="2:8" ht="12.75">
      <c r="B33" s="235"/>
      <c r="C33" s="234"/>
      <c r="D33" s="234"/>
      <c r="E33" s="234"/>
      <c r="F33" s="234"/>
      <c r="G33" s="234"/>
      <c r="H33" s="234"/>
    </row>
    <row r="34" spans="2:8" ht="12.75">
      <c r="B34" s="132">
        <v>0</v>
      </c>
      <c r="C34" s="132">
        <v>1</v>
      </c>
      <c r="D34" s="132">
        <v>2</v>
      </c>
      <c r="E34" s="132">
        <v>3</v>
      </c>
      <c r="F34" s="132">
        <v>4</v>
      </c>
      <c r="G34" s="132">
        <v>5</v>
      </c>
      <c r="H34" s="132">
        <v>6</v>
      </c>
    </row>
    <row r="35" spans="2:8" ht="12.75">
      <c r="B35" s="140" t="s">
        <v>39</v>
      </c>
      <c r="C35" s="139" t="s">
        <v>175</v>
      </c>
      <c r="D35" s="139" t="s">
        <v>179</v>
      </c>
      <c r="E35" s="139">
        <v>2</v>
      </c>
      <c r="F35" s="139">
        <v>21.5</v>
      </c>
      <c r="G35" s="139">
        <v>2</v>
      </c>
      <c r="H35" s="139" t="s">
        <v>177</v>
      </c>
    </row>
    <row r="36" spans="2:8" ht="12.75">
      <c r="B36" s="140" t="s">
        <v>40</v>
      </c>
      <c r="C36" s="139" t="s">
        <v>175</v>
      </c>
      <c r="D36" s="139" t="s">
        <v>179</v>
      </c>
      <c r="E36" s="139">
        <v>2</v>
      </c>
      <c r="F36" s="139">
        <v>10.75</v>
      </c>
      <c r="G36" s="139">
        <v>2</v>
      </c>
      <c r="H36" s="139" t="s">
        <v>177</v>
      </c>
    </row>
    <row r="37" spans="2:8" ht="7.5" customHeight="1">
      <c r="B37" s="141"/>
      <c r="C37" s="142"/>
      <c r="D37" s="142"/>
      <c r="E37" s="142"/>
      <c r="F37" s="142"/>
      <c r="G37" s="142"/>
      <c r="H37" s="142"/>
    </row>
    <row r="38" spans="2:8" ht="12.75" customHeight="1">
      <c r="B38" s="235" t="s">
        <v>184</v>
      </c>
      <c r="C38" s="234" t="s">
        <v>169</v>
      </c>
      <c r="D38" s="234" t="s">
        <v>170</v>
      </c>
      <c r="E38" s="234" t="s">
        <v>171</v>
      </c>
      <c r="F38" s="234" t="s">
        <v>172</v>
      </c>
      <c r="G38" s="234" t="s">
        <v>173</v>
      </c>
      <c r="H38" s="234" t="s">
        <v>174</v>
      </c>
    </row>
    <row r="39" spans="2:8" ht="12.75">
      <c r="B39" s="235"/>
      <c r="C39" s="234"/>
      <c r="D39" s="234"/>
      <c r="E39" s="234"/>
      <c r="F39" s="234"/>
      <c r="G39" s="234"/>
      <c r="H39" s="234"/>
    </row>
    <row r="40" spans="2:8" ht="12.75">
      <c r="B40" s="132">
        <v>0</v>
      </c>
      <c r="C40" s="132">
        <v>1</v>
      </c>
      <c r="D40" s="132">
        <v>2</v>
      </c>
      <c r="E40" s="132">
        <v>3</v>
      </c>
      <c r="F40" s="132">
        <v>4</v>
      </c>
      <c r="G40" s="132">
        <v>5</v>
      </c>
      <c r="H40" s="132">
        <v>6</v>
      </c>
    </row>
    <row r="41" spans="2:8" ht="12.75">
      <c r="B41" s="136" t="s">
        <v>42</v>
      </c>
      <c r="C41" s="139" t="s">
        <v>175</v>
      </c>
      <c r="D41" s="139" t="s">
        <v>176</v>
      </c>
      <c r="E41" s="135">
        <v>3</v>
      </c>
      <c r="F41" s="135">
        <v>1</v>
      </c>
      <c r="G41" s="135">
        <v>2</v>
      </c>
      <c r="H41" s="139" t="s">
        <v>177</v>
      </c>
    </row>
    <row r="42" spans="2:8" ht="12.75">
      <c r="B42" s="136" t="s">
        <v>43</v>
      </c>
      <c r="C42" s="139" t="s">
        <v>175</v>
      </c>
      <c r="D42" s="139" t="s">
        <v>176</v>
      </c>
      <c r="E42" s="135">
        <v>1</v>
      </c>
      <c r="F42" s="135">
        <v>7</v>
      </c>
      <c r="G42" s="135">
        <v>2</v>
      </c>
      <c r="H42" s="139" t="s">
        <v>177</v>
      </c>
    </row>
    <row r="43" ht="7.5" customHeight="1"/>
    <row r="44" spans="2:8" ht="12.75" customHeight="1">
      <c r="B44" s="235" t="s">
        <v>185</v>
      </c>
      <c r="C44" s="234" t="s">
        <v>169</v>
      </c>
      <c r="D44" s="234" t="s">
        <v>170</v>
      </c>
      <c r="E44" s="234" t="s">
        <v>171</v>
      </c>
      <c r="F44" s="234" t="s">
        <v>172</v>
      </c>
      <c r="G44" s="234" t="s">
        <v>173</v>
      </c>
      <c r="H44" s="234" t="s">
        <v>174</v>
      </c>
    </row>
    <row r="45" spans="2:8" ht="12.75">
      <c r="B45" s="235"/>
      <c r="C45" s="234"/>
      <c r="D45" s="234"/>
      <c r="E45" s="234"/>
      <c r="F45" s="234"/>
      <c r="G45" s="234"/>
      <c r="H45" s="234"/>
    </row>
    <row r="46" spans="2:8" ht="12.75">
      <c r="B46" s="132">
        <v>0</v>
      </c>
      <c r="C46" s="132">
        <v>1</v>
      </c>
      <c r="D46" s="132">
        <v>2</v>
      </c>
      <c r="E46" s="132">
        <v>3</v>
      </c>
      <c r="F46" s="132">
        <v>4</v>
      </c>
      <c r="G46" s="132">
        <v>5</v>
      </c>
      <c r="H46" s="132">
        <v>6</v>
      </c>
    </row>
    <row r="47" spans="2:8" ht="12.75">
      <c r="B47" s="143" t="s">
        <v>186</v>
      </c>
      <c r="C47" s="139" t="s">
        <v>175</v>
      </c>
      <c r="D47" s="139" t="s">
        <v>176</v>
      </c>
      <c r="E47" s="135">
        <v>3</v>
      </c>
      <c r="F47" s="139">
        <v>30</v>
      </c>
      <c r="G47" s="135">
        <v>2</v>
      </c>
      <c r="H47" s="139" t="s">
        <v>177</v>
      </c>
    </row>
    <row r="48" spans="2:8" ht="12.75">
      <c r="B48" s="143" t="s">
        <v>93</v>
      </c>
      <c r="C48" s="139" t="s">
        <v>175</v>
      </c>
      <c r="D48" s="139" t="s">
        <v>176</v>
      </c>
      <c r="E48" s="135">
        <v>3</v>
      </c>
      <c r="F48" s="139">
        <v>30</v>
      </c>
      <c r="G48" s="135">
        <v>2</v>
      </c>
      <c r="H48" s="139" t="s">
        <v>177</v>
      </c>
    </row>
    <row r="49" spans="2:8" ht="12.75">
      <c r="B49" s="143" t="s">
        <v>94</v>
      </c>
      <c r="C49" s="139" t="s">
        <v>175</v>
      </c>
      <c r="D49" s="139" t="s">
        <v>176</v>
      </c>
      <c r="E49" s="135">
        <v>3</v>
      </c>
      <c r="F49" s="139">
        <v>30</v>
      </c>
      <c r="G49" s="135">
        <v>2</v>
      </c>
      <c r="H49" s="139" t="s">
        <v>177</v>
      </c>
    </row>
    <row r="50" spans="2:8" ht="12.75">
      <c r="B50" s="144"/>
      <c r="C50" s="145"/>
      <c r="D50" s="145"/>
      <c r="E50" s="146"/>
      <c r="F50" s="145"/>
      <c r="G50" s="146"/>
      <c r="H50" s="145"/>
    </row>
    <row r="51" spans="2:8" ht="12.75">
      <c r="B51" s="147" t="s">
        <v>187</v>
      </c>
      <c r="C51" s="145"/>
      <c r="D51" s="145"/>
      <c r="E51" s="146"/>
      <c r="F51" s="145"/>
      <c r="G51" s="146"/>
      <c r="H51" s="145"/>
    </row>
    <row r="52" s="71" customFormat="1" ht="12">
      <c r="B52" s="148" t="s">
        <v>188</v>
      </c>
    </row>
    <row r="53" s="71" customFormat="1" ht="12">
      <c r="B53" s="148" t="s">
        <v>189</v>
      </c>
    </row>
    <row r="54" s="71" customFormat="1" ht="12">
      <c r="B54" s="148" t="s">
        <v>190</v>
      </c>
    </row>
    <row r="55" s="71" customFormat="1" ht="12">
      <c r="B55" s="148"/>
    </row>
    <row r="57" spans="2:12" ht="12.75">
      <c r="B57" s="149" t="s">
        <v>49</v>
      </c>
      <c r="C57" s="36"/>
      <c r="D57" s="32"/>
      <c r="E57" s="36" t="s">
        <v>50</v>
      </c>
      <c r="F57" s="30"/>
      <c r="G57" s="30"/>
      <c r="H57" s="36" t="s">
        <v>191</v>
      </c>
      <c r="I57" s="30"/>
      <c r="J57" s="30"/>
      <c r="K57" s="32"/>
      <c r="L57" s="36"/>
    </row>
    <row r="58" spans="2:12" ht="12.75">
      <c r="B58" s="150" t="s">
        <v>51</v>
      </c>
      <c r="C58" s="150"/>
      <c r="D58" s="151"/>
      <c r="E58" s="150" t="s">
        <v>52</v>
      </c>
      <c r="F58" s="150"/>
      <c r="G58" s="150"/>
      <c r="H58" s="150" t="s">
        <v>192</v>
      </c>
      <c r="I58" s="69"/>
      <c r="J58" s="69"/>
      <c r="K58" s="32"/>
      <c r="L58" s="150"/>
    </row>
  </sheetData>
  <sheetProtection selectLockedCells="1" selectUnlockedCells="1"/>
  <mergeCells count="56">
    <mergeCell ref="G16:G17"/>
    <mergeCell ref="H16:H17"/>
    <mergeCell ref="B9:B10"/>
    <mergeCell ref="C9:C10"/>
    <mergeCell ref="D9:D10"/>
    <mergeCell ref="E9:E10"/>
    <mergeCell ref="F9:F10"/>
    <mergeCell ref="G9:G10"/>
    <mergeCell ref="D19:D20"/>
    <mergeCell ref="E19:E20"/>
    <mergeCell ref="F19:F20"/>
    <mergeCell ref="G19:G20"/>
    <mergeCell ref="H9:H10"/>
    <mergeCell ref="B16:B17"/>
    <mergeCell ref="C16:C17"/>
    <mergeCell ref="D16:D17"/>
    <mergeCell ref="E16:E17"/>
    <mergeCell ref="F16:F17"/>
    <mergeCell ref="H19:H20"/>
    <mergeCell ref="B24:B25"/>
    <mergeCell ref="C24:C25"/>
    <mergeCell ref="D24:D25"/>
    <mergeCell ref="E24:E25"/>
    <mergeCell ref="F24:F25"/>
    <mergeCell ref="G24:G25"/>
    <mergeCell ref="H24:H25"/>
    <mergeCell ref="B19:B20"/>
    <mergeCell ref="C19:C20"/>
    <mergeCell ref="G32:G33"/>
    <mergeCell ref="H32:H33"/>
    <mergeCell ref="B27:B28"/>
    <mergeCell ref="C27:C28"/>
    <mergeCell ref="D27:D28"/>
    <mergeCell ref="E27:E28"/>
    <mergeCell ref="F27:F28"/>
    <mergeCell ref="G27:G28"/>
    <mergeCell ref="D38:D39"/>
    <mergeCell ref="E38:E39"/>
    <mergeCell ref="F38:F39"/>
    <mergeCell ref="G38:G39"/>
    <mergeCell ref="H27:H28"/>
    <mergeCell ref="B32:B33"/>
    <mergeCell ref="C32:C33"/>
    <mergeCell ref="D32:D33"/>
    <mergeCell ref="E32:E33"/>
    <mergeCell ref="F32:F33"/>
    <mergeCell ref="H38:H39"/>
    <mergeCell ref="B44:B45"/>
    <mergeCell ref="C44:C45"/>
    <mergeCell ref="D44:D45"/>
    <mergeCell ref="E44:E45"/>
    <mergeCell ref="F44:F45"/>
    <mergeCell ref="G44:G45"/>
    <mergeCell ref="H44:H45"/>
    <mergeCell ref="B38:B39"/>
    <mergeCell ref="C38:C39"/>
  </mergeCells>
  <printOptions/>
  <pageMargins left="0.3902777777777778" right="0.2902777777777778" top="0.2902777777777778" bottom="0.2902777777777778" header="0.5118055555555555" footer="0.5118055555555555"/>
  <pageSetup horizontalDpi="300" verticalDpi="3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4"/>
  <sheetViews>
    <sheetView zoomScalePageLayoutView="0" workbookViewId="0" topLeftCell="A1">
      <selection activeCell="P22" sqref="P22"/>
    </sheetView>
  </sheetViews>
  <sheetFormatPr defaultColWidth="11.57421875" defaultRowHeight="12.75"/>
  <cols>
    <col min="1" max="1" width="11.57421875" style="0" customWidth="1"/>
    <col min="2" max="2" width="33.00390625" style="0" customWidth="1"/>
    <col min="3" max="6" width="11.57421875" style="0" customWidth="1"/>
    <col min="7" max="7" width="15.28125" style="0" customWidth="1"/>
    <col min="8" max="8" width="7.8515625" style="0" customWidth="1"/>
    <col min="9" max="9" width="15.421875" style="0" customWidth="1"/>
    <col min="10" max="10" width="13.57421875" style="0" customWidth="1"/>
    <col min="11" max="11" width="8.7109375" style="0" customWidth="1"/>
    <col min="12" max="12" width="5.7109375" style="0" customWidth="1"/>
    <col min="13" max="13" width="15.140625" style="0" customWidth="1"/>
    <col min="14" max="14" width="11.57421875" style="0" customWidth="1"/>
    <col min="15" max="15" width="4.140625" style="0" customWidth="1"/>
    <col min="16" max="16" width="43.28125" style="0" customWidth="1"/>
  </cols>
  <sheetData>
    <row r="2" spans="2:13" ht="15">
      <c r="B2" s="152" t="s">
        <v>193</v>
      </c>
      <c r="C2" s="153"/>
      <c r="D2" s="153"/>
      <c r="E2" s="153"/>
      <c r="H2" s="239" t="s">
        <v>194</v>
      </c>
      <c r="I2" s="239"/>
      <c r="J2" s="239"/>
      <c r="K2" s="239"/>
      <c r="L2" s="239"/>
      <c r="M2" s="239"/>
    </row>
    <row r="3" spans="2:18" ht="15">
      <c r="B3" s="243" t="s">
        <v>195</v>
      </c>
      <c r="C3" s="241" t="s">
        <v>8</v>
      </c>
      <c r="D3" s="241"/>
      <c r="E3" s="155" t="s">
        <v>196</v>
      </c>
      <c r="H3" s="156" t="s">
        <v>104</v>
      </c>
      <c r="I3" s="156" t="s">
        <v>197</v>
      </c>
      <c r="J3" s="242" t="s">
        <v>198</v>
      </c>
      <c r="K3" s="242"/>
      <c r="L3" s="156" t="s">
        <v>199</v>
      </c>
      <c r="M3" s="156" t="s">
        <v>200</v>
      </c>
      <c r="O3" s="244"/>
      <c r="P3" s="244"/>
      <c r="Q3" s="244"/>
      <c r="R3" s="244"/>
    </row>
    <row r="4" spans="2:18" ht="15">
      <c r="B4" s="243"/>
      <c r="C4" s="154" t="s">
        <v>11</v>
      </c>
      <c r="D4" s="154" t="s">
        <v>12</v>
      </c>
      <c r="E4" s="157" t="s">
        <v>201</v>
      </c>
      <c r="H4" s="158">
        <v>1</v>
      </c>
      <c r="I4" s="159" t="s">
        <v>202</v>
      </c>
      <c r="J4" s="160" t="s">
        <v>203</v>
      </c>
      <c r="K4" s="161" t="s">
        <v>204</v>
      </c>
      <c r="L4" s="158">
        <v>1989</v>
      </c>
      <c r="M4" s="158" t="s">
        <v>205</v>
      </c>
      <c r="O4" s="87"/>
      <c r="P4" s="87"/>
      <c r="Q4" s="87"/>
      <c r="R4" s="87"/>
    </row>
    <row r="5" spans="2:13" ht="14.25">
      <c r="B5" s="162" t="s">
        <v>39</v>
      </c>
      <c r="C5" s="163">
        <v>40</v>
      </c>
      <c r="D5" s="163">
        <v>40</v>
      </c>
      <c r="E5" s="164">
        <f>D5/C5*100-100</f>
        <v>0</v>
      </c>
      <c r="H5" s="158">
        <v>2</v>
      </c>
      <c r="I5" s="159" t="s">
        <v>206</v>
      </c>
      <c r="J5" s="165" t="s">
        <v>203</v>
      </c>
      <c r="K5" s="166" t="s">
        <v>204</v>
      </c>
      <c r="L5" s="158">
        <v>1989</v>
      </c>
      <c r="M5" s="158" t="s">
        <v>205</v>
      </c>
    </row>
    <row r="6" spans="2:13" ht="14.25">
      <c r="B6" s="162" t="s">
        <v>40</v>
      </c>
      <c r="C6" s="163">
        <v>25</v>
      </c>
      <c r="D6" s="163">
        <v>25</v>
      </c>
      <c r="E6" s="164">
        <f>D6/C6*100-100</f>
        <v>0</v>
      </c>
      <c r="H6" s="158">
        <v>3</v>
      </c>
      <c r="I6" s="159" t="s">
        <v>207</v>
      </c>
      <c r="J6" s="160" t="s">
        <v>203</v>
      </c>
      <c r="K6" s="161" t="s">
        <v>204</v>
      </c>
      <c r="L6" s="158">
        <v>1989</v>
      </c>
      <c r="M6" s="158" t="s">
        <v>205</v>
      </c>
    </row>
    <row r="7" spans="2:13" ht="14.25">
      <c r="B7" s="153"/>
      <c r="C7" s="153"/>
      <c r="D7" s="153"/>
      <c r="E7" s="153"/>
      <c r="H7" s="158">
        <v>4</v>
      </c>
      <c r="I7" s="159" t="s">
        <v>208</v>
      </c>
      <c r="J7" s="165" t="s">
        <v>203</v>
      </c>
      <c r="K7" s="166" t="s">
        <v>204</v>
      </c>
      <c r="L7" s="158">
        <v>1990</v>
      </c>
      <c r="M7" s="158" t="s">
        <v>205</v>
      </c>
    </row>
    <row r="8" spans="2:17" ht="15">
      <c r="B8" s="152" t="s">
        <v>209</v>
      </c>
      <c r="C8" s="153"/>
      <c r="D8" s="153"/>
      <c r="E8" s="153"/>
      <c r="H8" s="158">
        <v>5</v>
      </c>
      <c r="I8" s="159" t="s">
        <v>210</v>
      </c>
      <c r="J8" s="160" t="s">
        <v>203</v>
      </c>
      <c r="K8" s="161" t="s">
        <v>204</v>
      </c>
      <c r="L8" s="158">
        <v>1990</v>
      </c>
      <c r="M8" s="158" t="s">
        <v>205</v>
      </c>
      <c r="Q8" s="167"/>
    </row>
    <row r="9" spans="2:17" ht="15">
      <c r="B9" s="243" t="s">
        <v>195</v>
      </c>
      <c r="C9" s="241" t="s">
        <v>8</v>
      </c>
      <c r="D9" s="241"/>
      <c r="E9" s="155" t="s">
        <v>196</v>
      </c>
      <c r="H9" s="158">
        <v>6</v>
      </c>
      <c r="I9" s="159" t="s">
        <v>211</v>
      </c>
      <c r="J9" s="168" t="s">
        <v>212</v>
      </c>
      <c r="K9" s="169" t="s">
        <v>204</v>
      </c>
      <c r="L9" s="158">
        <v>1990</v>
      </c>
      <c r="M9" s="158" t="s">
        <v>205</v>
      </c>
      <c r="Q9" s="167"/>
    </row>
    <row r="10" spans="2:17" ht="15">
      <c r="B10" s="243"/>
      <c r="C10" s="154" t="s">
        <v>11</v>
      </c>
      <c r="D10" s="154" t="s">
        <v>12</v>
      </c>
      <c r="E10" s="157" t="s">
        <v>201</v>
      </c>
      <c r="H10" s="158">
        <v>7</v>
      </c>
      <c r="I10" s="159" t="s">
        <v>213</v>
      </c>
      <c r="J10" s="170" t="s">
        <v>214</v>
      </c>
      <c r="K10" s="171" t="s">
        <v>215</v>
      </c>
      <c r="L10" s="158">
        <v>1990</v>
      </c>
      <c r="M10" s="158" t="s">
        <v>205</v>
      </c>
      <c r="Q10" s="167"/>
    </row>
    <row r="11" spans="2:18" ht="14.25">
      <c r="B11" s="162" t="s">
        <v>42</v>
      </c>
      <c r="C11" s="163">
        <v>6</v>
      </c>
      <c r="D11" s="163">
        <v>8</v>
      </c>
      <c r="E11" s="164">
        <f>D11/C11*100-100</f>
        <v>33.333333333333314</v>
      </c>
      <c r="H11" s="158">
        <v>8</v>
      </c>
      <c r="I11" s="159" t="s">
        <v>216</v>
      </c>
      <c r="J11" s="160" t="s">
        <v>214</v>
      </c>
      <c r="K11" s="161" t="s">
        <v>215</v>
      </c>
      <c r="L11" s="158">
        <v>1990</v>
      </c>
      <c r="M11" s="158" t="s">
        <v>205</v>
      </c>
      <c r="O11" s="239" t="s">
        <v>217</v>
      </c>
      <c r="P11" s="239"/>
      <c r="Q11" s="239"/>
      <c r="R11" s="239"/>
    </row>
    <row r="12" spans="2:18" ht="14.25">
      <c r="B12" s="162" t="s">
        <v>43</v>
      </c>
      <c r="C12" s="163">
        <v>15</v>
      </c>
      <c r="D12" s="163">
        <v>18</v>
      </c>
      <c r="E12" s="164">
        <f>D12/C12*100-100</f>
        <v>20</v>
      </c>
      <c r="O12" s="87" t="s">
        <v>218</v>
      </c>
      <c r="P12" s="87" t="s">
        <v>219</v>
      </c>
      <c r="Q12" s="87" t="s">
        <v>220</v>
      </c>
      <c r="R12" s="87" t="s">
        <v>221</v>
      </c>
    </row>
    <row r="13" spans="15:18" ht="12.75">
      <c r="O13" s="86">
        <v>1</v>
      </c>
      <c r="P13" s="172" t="s">
        <v>222</v>
      </c>
      <c r="Q13" s="173">
        <v>43194</v>
      </c>
      <c r="R13" s="174">
        <v>48357.23</v>
      </c>
    </row>
    <row r="14" spans="2:18" ht="15">
      <c r="B14" s="152" t="s">
        <v>223</v>
      </c>
      <c r="E14" s="123"/>
      <c r="H14" s="239" t="s">
        <v>224</v>
      </c>
      <c r="I14" s="239"/>
      <c r="J14" s="239"/>
      <c r="K14" s="239"/>
      <c r="L14" s="239"/>
      <c r="M14" s="239"/>
      <c r="O14" s="86">
        <v>2</v>
      </c>
      <c r="P14" s="172" t="s">
        <v>225</v>
      </c>
      <c r="Q14" s="173">
        <v>43194</v>
      </c>
      <c r="R14" s="174">
        <v>60078.48</v>
      </c>
    </row>
    <row r="15" spans="2:18" ht="15">
      <c r="B15" s="240" t="s">
        <v>226</v>
      </c>
      <c r="C15" s="241" t="s">
        <v>8</v>
      </c>
      <c r="D15" s="241"/>
      <c r="E15" s="175"/>
      <c r="H15" s="156" t="s">
        <v>104</v>
      </c>
      <c r="I15" s="156" t="s">
        <v>197</v>
      </c>
      <c r="J15" s="242" t="s">
        <v>198</v>
      </c>
      <c r="K15" s="242"/>
      <c r="L15" s="156" t="s">
        <v>199</v>
      </c>
      <c r="M15" s="156" t="s">
        <v>200</v>
      </c>
      <c r="O15" s="86">
        <v>3</v>
      </c>
      <c r="P15" s="172" t="s">
        <v>227</v>
      </c>
      <c r="Q15" s="173">
        <v>43433</v>
      </c>
      <c r="R15" s="174">
        <v>15944.28</v>
      </c>
    </row>
    <row r="16" spans="2:18" ht="15">
      <c r="B16" s="240"/>
      <c r="C16" s="154" t="s">
        <v>11</v>
      </c>
      <c r="D16" s="154" t="s">
        <v>12</v>
      </c>
      <c r="E16" s="175"/>
      <c r="H16" s="158">
        <v>1</v>
      </c>
      <c r="I16" s="159" t="s">
        <v>208</v>
      </c>
      <c r="J16" s="159" t="s">
        <v>203</v>
      </c>
      <c r="K16" s="159" t="s">
        <v>204</v>
      </c>
      <c r="L16" s="158">
        <v>1990</v>
      </c>
      <c r="M16" s="158" t="s">
        <v>205</v>
      </c>
      <c r="O16" s="86">
        <v>4</v>
      </c>
      <c r="P16" s="172" t="s">
        <v>228</v>
      </c>
      <c r="Q16" s="173">
        <v>43433</v>
      </c>
      <c r="R16" s="174">
        <v>67118.1</v>
      </c>
    </row>
    <row r="17" spans="2:18" ht="14.25">
      <c r="B17" s="176" t="s">
        <v>186</v>
      </c>
      <c r="C17" s="163">
        <v>95</v>
      </c>
      <c r="D17" s="163">
        <v>95</v>
      </c>
      <c r="E17" s="177"/>
      <c r="H17" s="158">
        <v>2</v>
      </c>
      <c r="I17" s="159" t="s">
        <v>213</v>
      </c>
      <c r="J17" s="159" t="s">
        <v>214</v>
      </c>
      <c r="K17" s="159" t="s">
        <v>215</v>
      </c>
      <c r="L17" s="158">
        <v>1990</v>
      </c>
      <c r="M17" s="158" t="s">
        <v>205</v>
      </c>
      <c r="O17" s="86">
        <v>5</v>
      </c>
      <c r="P17" s="178" t="s">
        <v>229</v>
      </c>
      <c r="Q17" s="179">
        <v>43677</v>
      </c>
      <c r="R17" s="180">
        <v>29967.82</v>
      </c>
    </row>
    <row r="18" spans="2:18" ht="14.25">
      <c r="B18" s="176" t="s">
        <v>93</v>
      </c>
      <c r="C18" s="163">
        <v>40</v>
      </c>
      <c r="D18" s="163">
        <v>40</v>
      </c>
      <c r="E18" s="177"/>
      <c r="O18" s="86">
        <v>6</v>
      </c>
      <c r="P18" s="178" t="s">
        <v>230</v>
      </c>
      <c r="Q18" s="179">
        <v>43696</v>
      </c>
      <c r="R18" s="180">
        <v>42356.43</v>
      </c>
    </row>
    <row r="19" spans="2:18" ht="14.25">
      <c r="B19" s="176" t="s">
        <v>94</v>
      </c>
      <c r="C19" s="163">
        <v>40</v>
      </c>
      <c r="D19" s="163">
        <v>40</v>
      </c>
      <c r="E19" s="177"/>
      <c r="O19" s="86">
        <v>7</v>
      </c>
      <c r="P19" s="178" t="s">
        <v>231</v>
      </c>
      <c r="Q19" s="179">
        <v>43696</v>
      </c>
      <c r="R19" s="180">
        <v>42123.74</v>
      </c>
    </row>
    <row r="20" ht="12.75">
      <c r="E20" s="123"/>
    </row>
    <row r="21" spans="7:11" ht="12.75">
      <c r="G21" s="239" t="s">
        <v>232</v>
      </c>
      <c r="H21" s="239"/>
      <c r="I21" s="239"/>
      <c r="J21" s="239"/>
      <c r="K21" s="239"/>
    </row>
    <row r="22" spans="7:11" ht="12.75">
      <c r="G22" s="87" t="s">
        <v>233</v>
      </c>
      <c r="H22" s="87" t="s">
        <v>105</v>
      </c>
      <c r="I22" s="87" t="s">
        <v>234</v>
      </c>
      <c r="J22" s="87" t="s">
        <v>235</v>
      </c>
      <c r="K22" s="87" t="s">
        <v>236</v>
      </c>
    </row>
    <row r="23" spans="7:11" ht="12.75">
      <c r="G23" s="105" t="s">
        <v>237</v>
      </c>
      <c r="H23" s="86" t="s">
        <v>238</v>
      </c>
      <c r="I23" s="86">
        <f>0.12675</f>
        <v>0.12675</v>
      </c>
      <c r="J23" s="86">
        <v>0.16974</v>
      </c>
      <c r="K23" s="86">
        <f>ROUND(J23/I23*100,2)</f>
        <v>133.92</v>
      </c>
    </row>
    <row r="24" spans="7:11" ht="12.75">
      <c r="G24" s="105" t="s">
        <v>239</v>
      </c>
      <c r="H24" s="86" t="s">
        <v>238</v>
      </c>
      <c r="I24" s="86">
        <v>0.4712</v>
      </c>
      <c r="J24" s="86">
        <v>0.5521</v>
      </c>
      <c r="K24" s="86">
        <f>ROUND(J24/I24*100,2)</f>
        <v>117.17</v>
      </c>
    </row>
  </sheetData>
  <sheetProtection selectLockedCells="1" selectUnlockedCells="1"/>
  <mergeCells count="13">
    <mergeCell ref="H2:M2"/>
    <mergeCell ref="B3:B4"/>
    <mergeCell ref="C3:D3"/>
    <mergeCell ref="J3:K3"/>
    <mergeCell ref="O3:R3"/>
    <mergeCell ref="B9:B10"/>
    <mergeCell ref="C9:D9"/>
    <mergeCell ref="O11:R11"/>
    <mergeCell ref="H14:M14"/>
    <mergeCell ref="B15:B16"/>
    <mergeCell ref="C15:D15"/>
    <mergeCell ref="J15:K15"/>
    <mergeCell ref="G21:K2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28" sqref="G28"/>
    </sheetView>
  </sheetViews>
  <sheetFormatPr defaultColWidth="11.57421875" defaultRowHeight="12.75"/>
  <cols>
    <col min="1" max="1" width="3.7109375" style="0" customWidth="1"/>
    <col min="2" max="2" width="34.7109375" style="0" customWidth="1"/>
    <col min="3" max="3" width="8.00390625" style="0" customWidth="1"/>
    <col min="4" max="4" width="31.8515625" style="0" customWidth="1"/>
    <col min="5" max="5" width="6.28125" style="0" customWidth="1"/>
    <col min="6" max="6" width="7.8515625" style="0" customWidth="1"/>
    <col min="7" max="12" width="11.57421875" style="0" customWidth="1"/>
    <col min="13" max="13" width="30.00390625" style="0" customWidth="1"/>
    <col min="14" max="14" width="7.7109375" style="0" customWidth="1"/>
    <col min="15" max="15" width="8.8515625" style="0" customWidth="1"/>
    <col min="16" max="16" width="12.57421875" style="0" customWidth="1"/>
  </cols>
  <sheetData>
    <row r="1" spans="1:7" ht="15">
      <c r="A1" s="123"/>
      <c r="B1" s="181"/>
      <c r="C1" s="10"/>
      <c r="D1" s="181"/>
      <c r="E1" s="182"/>
      <c r="F1" s="10"/>
      <c r="G1" s="123"/>
    </row>
    <row r="2" spans="1:7" ht="12.75">
      <c r="A2" s="251" t="s">
        <v>240</v>
      </c>
      <c r="B2" s="251"/>
      <c r="C2" s="251"/>
      <c r="D2" s="251"/>
      <c r="E2" s="251"/>
      <c r="F2" s="251"/>
      <c r="G2" s="123"/>
    </row>
    <row r="3" spans="1:6" ht="15">
      <c r="A3" s="87" t="s">
        <v>241</v>
      </c>
      <c r="B3" s="183" t="s">
        <v>242</v>
      </c>
      <c r="C3" s="184" t="s">
        <v>117</v>
      </c>
      <c r="D3" s="183" t="s">
        <v>243</v>
      </c>
      <c r="E3" s="184" t="s">
        <v>117</v>
      </c>
      <c r="F3" s="184" t="s">
        <v>236</v>
      </c>
    </row>
    <row r="4" spans="1:6" ht="15">
      <c r="A4" s="253">
        <v>1</v>
      </c>
      <c r="B4" s="186" t="s">
        <v>16</v>
      </c>
      <c r="C4" s="187">
        <v>2</v>
      </c>
      <c r="D4" s="254" t="s">
        <v>16</v>
      </c>
      <c r="E4" s="249">
        <v>2.5</v>
      </c>
      <c r="F4" s="250">
        <f>E4/C4*100-100</f>
        <v>25</v>
      </c>
    </row>
    <row r="5" spans="1:16" ht="15">
      <c r="A5" s="253"/>
      <c r="B5" s="186" t="s">
        <v>244</v>
      </c>
      <c r="C5" s="187">
        <v>3</v>
      </c>
      <c r="D5" s="254"/>
      <c r="E5" s="249"/>
      <c r="F5" s="250"/>
      <c r="H5" s="188">
        <v>3</v>
      </c>
      <c r="I5" s="188">
        <v>2.5</v>
      </c>
      <c r="J5" s="188"/>
      <c r="K5" s="188">
        <f>I5/H5*100-100</f>
        <v>-16.666666666666657</v>
      </c>
      <c r="M5" s="239" t="s">
        <v>245</v>
      </c>
      <c r="N5" s="239"/>
      <c r="O5" s="239"/>
      <c r="P5" s="239"/>
    </row>
    <row r="6" spans="1:16" ht="15">
      <c r="A6" s="253"/>
      <c r="B6" s="186" t="s">
        <v>246</v>
      </c>
      <c r="C6" s="187">
        <v>1.55</v>
      </c>
      <c r="D6" s="254"/>
      <c r="E6" s="249"/>
      <c r="F6" s="250"/>
      <c r="H6" s="188">
        <v>1.55</v>
      </c>
      <c r="I6" s="188">
        <v>2.5</v>
      </c>
      <c r="K6" s="188">
        <f>I6/H6*100-100</f>
        <v>61.29032258064515</v>
      </c>
      <c r="M6" s="255" t="s">
        <v>195</v>
      </c>
      <c r="N6" s="248" t="s">
        <v>8</v>
      </c>
      <c r="O6" s="248"/>
      <c r="P6" s="190" t="s">
        <v>196</v>
      </c>
    </row>
    <row r="7" spans="1:16" ht="15">
      <c r="A7" s="253">
        <v>2</v>
      </c>
      <c r="B7" s="186" t="s">
        <v>17</v>
      </c>
      <c r="C7" s="187">
        <v>4</v>
      </c>
      <c r="D7" s="254" t="s">
        <v>17</v>
      </c>
      <c r="E7" s="249">
        <v>5</v>
      </c>
      <c r="F7" s="250">
        <f>E7/C7*100-100</f>
        <v>25</v>
      </c>
      <c r="M7" s="255"/>
      <c r="N7" s="189" t="s">
        <v>11</v>
      </c>
      <c r="O7" s="189" t="s">
        <v>12</v>
      </c>
      <c r="P7" s="191" t="s">
        <v>247</v>
      </c>
    </row>
    <row r="8" spans="1:16" ht="15">
      <c r="A8" s="253"/>
      <c r="B8" s="186" t="s">
        <v>18</v>
      </c>
      <c r="C8" s="187">
        <v>6</v>
      </c>
      <c r="D8" s="254"/>
      <c r="E8" s="249"/>
      <c r="F8" s="250"/>
      <c r="M8" s="192" t="s">
        <v>39</v>
      </c>
      <c r="N8" s="193">
        <v>40</v>
      </c>
      <c r="O8" s="193">
        <v>40</v>
      </c>
      <c r="P8" s="194">
        <f>O8/N8*100-100</f>
        <v>0</v>
      </c>
    </row>
    <row r="9" spans="1:16" ht="15">
      <c r="A9" s="253"/>
      <c r="B9" s="186" t="s">
        <v>19</v>
      </c>
      <c r="C9" s="187">
        <v>3.1</v>
      </c>
      <c r="D9" s="254"/>
      <c r="E9" s="249"/>
      <c r="F9" s="250"/>
      <c r="M9" s="192" t="s">
        <v>40</v>
      </c>
      <c r="N9" s="193">
        <v>25</v>
      </c>
      <c r="O9" s="193">
        <v>25</v>
      </c>
      <c r="P9" s="194">
        <f>O9/N9*100-100</f>
        <v>0</v>
      </c>
    </row>
    <row r="10" spans="1:6" ht="15">
      <c r="A10" s="185">
        <v>3</v>
      </c>
      <c r="B10" s="162" t="s">
        <v>20</v>
      </c>
      <c r="C10" s="195">
        <v>10</v>
      </c>
      <c r="D10" s="196" t="s">
        <v>20</v>
      </c>
      <c r="E10" s="195">
        <v>15</v>
      </c>
      <c r="F10" s="197">
        <f>E10/C10*100-100</f>
        <v>50</v>
      </c>
    </row>
    <row r="11" ht="12.75">
      <c r="D11" s="123"/>
    </row>
    <row r="12" spans="1:6" ht="12.75">
      <c r="A12" s="251" t="s">
        <v>248</v>
      </c>
      <c r="B12" s="251"/>
      <c r="C12" s="251"/>
      <c r="D12" s="251"/>
      <c r="E12" s="251"/>
      <c r="F12" s="251"/>
    </row>
    <row r="13" spans="1:6" ht="12.75">
      <c r="A13" s="198" t="s">
        <v>241</v>
      </c>
      <c r="B13" s="199" t="s">
        <v>249</v>
      </c>
      <c r="C13" s="200" t="s">
        <v>117</v>
      </c>
      <c r="D13" s="199" t="s">
        <v>250</v>
      </c>
      <c r="E13" s="200" t="s">
        <v>117</v>
      </c>
      <c r="F13" s="200" t="s">
        <v>236</v>
      </c>
    </row>
    <row r="14" spans="1:6" ht="12.75">
      <c r="A14" s="252" t="s">
        <v>21</v>
      </c>
      <c r="B14" s="252"/>
      <c r="C14" s="252"/>
      <c r="D14" s="252"/>
      <c r="E14" s="252"/>
      <c r="F14" s="252"/>
    </row>
    <row r="15" spans="1:8" ht="25.5">
      <c r="A15" s="135">
        <v>1</v>
      </c>
      <c r="B15" s="201" t="s">
        <v>22</v>
      </c>
      <c r="C15" s="202">
        <v>64</v>
      </c>
      <c r="D15" s="138" t="s">
        <v>22</v>
      </c>
      <c r="E15" s="202">
        <v>69</v>
      </c>
      <c r="F15" s="203">
        <f>E15/C15*100-100</f>
        <v>7.8125</v>
      </c>
      <c r="H15" s="204">
        <f>E15/C18*100-100</f>
        <v>-8</v>
      </c>
    </row>
    <row r="16" spans="1:8" ht="25.5">
      <c r="A16" s="135">
        <v>2</v>
      </c>
      <c r="B16" s="201" t="s">
        <v>23</v>
      </c>
      <c r="C16" s="205">
        <v>74</v>
      </c>
      <c r="D16" s="138" t="s">
        <v>23</v>
      </c>
      <c r="E16" s="205">
        <v>79</v>
      </c>
      <c r="F16" s="203">
        <f>E16/C16*100-100</f>
        <v>6.756756756756758</v>
      </c>
      <c r="H16" s="204">
        <f>E15/C19*100-100</f>
        <v>9.523809523809533</v>
      </c>
    </row>
    <row r="17" spans="1:8" ht="25.5">
      <c r="A17" s="135">
        <v>3</v>
      </c>
      <c r="B17" s="201" t="s">
        <v>24</v>
      </c>
      <c r="C17" s="202">
        <v>116</v>
      </c>
      <c r="D17" s="138" t="s">
        <v>25</v>
      </c>
      <c r="E17" s="202">
        <v>99</v>
      </c>
      <c r="F17" s="203">
        <f>E17/C17*100-100</f>
        <v>-14.65517241379311</v>
      </c>
      <c r="H17" s="204"/>
    </row>
    <row r="18" spans="1:8" ht="12.75">
      <c r="A18" s="135">
        <v>4</v>
      </c>
      <c r="B18" s="136" t="s">
        <v>26</v>
      </c>
      <c r="C18" s="206">
        <v>75</v>
      </c>
      <c r="D18" s="207" t="s">
        <v>251</v>
      </c>
      <c r="E18" s="208" t="s">
        <v>251</v>
      </c>
      <c r="F18" s="208" t="s">
        <v>251</v>
      </c>
      <c r="H18" s="204"/>
    </row>
    <row r="19" spans="1:8" ht="12.75">
      <c r="A19" s="135">
        <v>5</v>
      </c>
      <c r="B19" s="136" t="s">
        <v>27</v>
      </c>
      <c r="C19" s="206">
        <v>63</v>
      </c>
      <c r="D19" s="207" t="s">
        <v>251</v>
      </c>
      <c r="E19" s="208" t="s">
        <v>251</v>
      </c>
      <c r="F19" s="208" t="s">
        <v>251</v>
      </c>
      <c r="H19" s="204"/>
    </row>
    <row r="20" spans="1:6" ht="12.75" customHeight="1">
      <c r="A20" s="252" t="s">
        <v>28</v>
      </c>
      <c r="B20" s="252"/>
      <c r="C20" s="252"/>
      <c r="D20" s="252"/>
      <c r="E20" s="252"/>
      <c r="F20" s="252"/>
    </row>
    <row r="21" spans="1:8" ht="38.25">
      <c r="A21" s="135">
        <v>1</v>
      </c>
      <c r="B21" s="201" t="s">
        <v>30</v>
      </c>
      <c r="C21" s="202">
        <f>C15/2</f>
        <v>32</v>
      </c>
      <c r="D21" s="138" t="s">
        <v>31</v>
      </c>
      <c r="E21" s="202">
        <v>35</v>
      </c>
      <c r="F21" s="209">
        <f>E21/C21*100-100</f>
        <v>9.375</v>
      </c>
      <c r="H21" s="102">
        <f>E21/C21*100-100</f>
        <v>9.375</v>
      </c>
    </row>
    <row r="22" spans="1:8" ht="25.5">
      <c r="A22" s="135">
        <v>2</v>
      </c>
      <c r="B22" s="201" t="s">
        <v>33</v>
      </c>
      <c r="C22" s="202">
        <v>37</v>
      </c>
      <c r="D22" s="138" t="s">
        <v>33</v>
      </c>
      <c r="E22" s="202">
        <v>41</v>
      </c>
      <c r="F22" s="209">
        <f>E22/C22*100-100</f>
        <v>10.810810810810807</v>
      </c>
      <c r="H22" s="102">
        <f>E21/C24*100-100</f>
        <v>-6.666666666666671</v>
      </c>
    </row>
    <row r="23" spans="1:8" ht="28.5">
      <c r="A23" s="135">
        <v>3</v>
      </c>
      <c r="B23" s="201" t="s">
        <v>34</v>
      </c>
      <c r="C23" s="202">
        <v>58</v>
      </c>
      <c r="D23" s="24" t="s">
        <v>35</v>
      </c>
      <c r="E23" s="202">
        <v>50</v>
      </c>
      <c r="F23" s="209">
        <f>E23/C23*100-100</f>
        <v>-13.793103448275872</v>
      </c>
      <c r="H23" s="102">
        <f>E21/C25*100-100</f>
        <v>11.111111111111114</v>
      </c>
    </row>
    <row r="24" spans="1:6" ht="12.75">
      <c r="A24" s="135">
        <v>4</v>
      </c>
      <c r="B24" s="136" t="s">
        <v>36</v>
      </c>
      <c r="C24" s="210">
        <f>C18/2</f>
        <v>37.5</v>
      </c>
      <c r="D24" s="207" t="s">
        <v>251</v>
      </c>
      <c r="E24" s="208" t="s">
        <v>251</v>
      </c>
      <c r="F24" s="208" t="s">
        <v>251</v>
      </c>
    </row>
    <row r="25" spans="1:6" ht="12.75">
      <c r="A25" s="135">
        <v>5</v>
      </c>
      <c r="B25" s="136" t="s">
        <v>37</v>
      </c>
      <c r="C25" s="210">
        <f>C19/2</f>
        <v>31.5</v>
      </c>
      <c r="D25" s="207" t="s">
        <v>251</v>
      </c>
      <c r="E25" s="208" t="s">
        <v>251</v>
      </c>
      <c r="F25" s="208" t="s">
        <v>251</v>
      </c>
    </row>
    <row r="27" spans="13:16" ht="15">
      <c r="M27" s="247" t="s">
        <v>252</v>
      </c>
      <c r="N27" s="247"/>
      <c r="O27" s="247"/>
      <c r="P27" s="247"/>
    </row>
    <row r="28" spans="13:16" ht="12.75">
      <c r="M28" s="245" t="s">
        <v>195</v>
      </c>
      <c r="N28" s="246" t="s">
        <v>8</v>
      </c>
      <c r="O28" s="246"/>
      <c r="P28" s="190" t="s">
        <v>196</v>
      </c>
    </row>
    <row r="29" spans="13:16" ht="12.75">
      <c r="M29" s="245"/>
      <c r="N29" s="211" t="s">
        <v>11</v>
      </c>
      <c r="O29" s="211" t="s">
        <v>12</v>
      </c>
      <c r="P29" s="191" t="s">
        <v>247</v>
      </c>
    </row>
    <row r="30" spans="13:16" ht="12.75">
      <c r="M30" s="159" t="s">
        <v>42</v>
      </c>
      <c r="N30" s="212">
        <v>8</v>
      </c>
      <c r="O30" s="206">
        <v>10</v>
      </c>
      <c r="P30" s="213">
        <f>O30/N30*100-100</f>
        <v>25</v>
      </c>
    </row>
    <row r="31" spans="13:16" ht="12.75">
      <c r="M31" s="159" t="s">
        <v>43</v>
      </c>
      <c r="N31" s="212">
        <v>18</v>
      </c>
      <c r="O31" s="206">
        <v>21</v>
      </c>
      <c r="P31" s="213">
        <f>O31/N31*100-100</f>
        <v>16.66666666666667</v>
      </c>
    </row>
    <row r="34" spans="13:15" ht="15">
      <c r="M34" s="247" t="s">
        <v>253</v>
      </c>
      <c r="N34" s="247"/>
      <c r="O34" s="247"/>
    </row>
    <row r="35" spans="13:16" ht="15">
      <c r="M35" s="240" t="s">
        <v>226</v>
      </c>
      <c r="N35" s="248" t="s">
        <v>8</v>
      </c>
      <c r="O35" s="248"/>
      <c r="P35" s="190" t="s">
        <v>196</v>
      </c>
    </row>
    <row r="36" spans="13:16" ht="15">
      <c r="M36" s="240"/>
      <c r="N36" s="189" t="s">
        <v>11</v>
      </c>
      <c r="O36" s="189" t="s">
        <v>12</v>
      </c>
      <c r="P36" s="191" t="s">
        <v>247</v>
      </c>
    </row>
    <row r="37" spans="13:16" ht="15">
      <c r="M37" s="214" t="s">
        <v>186</v>
      </c>
      <c r="N37" s="215">
        <v>74</v>
      </c>
      <c r="O37" s="215">
        <v>79</v>
      </c>
      <c r="P37" s="213">
        <f>O37/N37*100-100</f>
        <v>6.756756756756758</v>
      </c>
    </row>
    <row r="38" spans="13:16" ht="15">
      <c r="M38" s="214" t="s">
        <v>93</v>
      </c>
      <c r="N38" s="215">
        <v>40</v>
      </c>
      <c r="O38" s="215">
        <v>40</v>
      </c>
      <c r="P38" s="213">
        <f>O38/N38*100-100</f>
        <v>0</v>
      </c>
    </row>
    <row r="39" spans="13:16" ht="15">
      <c r="M39" s="214" t="s">
        <v>94</v>
      </c>
      <c r="N39" s="215">
        <v>74</v>
      </c>
      <c r="O39" s="215">
        <v>79</v>
      </c>
      <c r="P39" s="213">
        <f>O39/N39*100-100</f>
        <v>6.756756756756758</v>
      </c>
    </row>
  </sheetData>
  <sheetProtection selectLockedCells="1" selectUnlockedCells="1"/>
  <mergeCells count="21">
    <mergeCell ref="D7:D9"/>
    <mergeCell ref="M27:P27"/>
    <mergeCell ref="A2:F2"/>
    <mergeCell ref="A4:A6"/>
    <mergeCell ref="D4:D6"/>
    <mergeCell ref="E4:E6"/>
    <mergeCell ref="F4:F6"/>
    <mergeCell ref="M5:P5"/>
    <mergeCell ref="M6:M7"/>
    <mergeCell ref="N6:O6"/>
    <mergeCell ref="A7:A9"/>
    <mergeCell ref="M28:M29"/>
    <mergeCell ref="N28:O28"/>
    <mergeCell ref="M34:O34"/>
    <mergeCell ref="M35:M36"/>
    <mergeCell ref="N35:O35"/>
    <mergeCell ref="E7:E9"/>
    <mergeCell ref="F7:F9"/>
    <mergeCell ref="A12:F12"/>
    <mergeCell ref="A14:F14"/>
    <mergeCell ref="A20:F2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</dc:creator>
  <cp:keywords/>
  <dc:description/>
  <cp:lastModifiedBy>admin</cp:lastModifiedBy>
  <dcterms:created xsi:type="dcterms:W3CDTF">2020-03-04T06:27:05Z</dcterms:created>
  <dcterms:modified xsi:type="dcterms:W3CDTF">2020-03-04T07:44:54Z</dcterms:modified>
  <cp:category/>
  <cp:version/>
  <cp:contentType/>
  <cp:contentStatus/>
</cp:coreProperties>
</file>